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defaultThemeVersion="166925"/>
  <mc:AlternateContent xmlns:mc="http://schemas.openxmlformats.org/markup-compatibility/2006">
    <mc:Choice Requires="x15">
      <x15ac:absPath xmlns:x15ac="http://schemas.microsoft.com/office/spreadsheetml/2010/11/ac" url="C:\Users\jorte\Phius Dropbox\PHIUS Shared\Certification\Project Certification\01_Calculators_Protocol\Excel\"/>
    </mc:Choice>
  </mc:AlternateContent>
  <xr:revisionPtr revIDLastSave="0" documentId="13_ncr:1_{CEDDD375-193C-4AE1-B3D6-B6477547DBFE}" xr6:coauthVersionLast="47" xr6:coauthVersionMax="47" xr10:uidLastSave="{00000000-0000-0000-0000-000000000000}"/>
  <workbookProtection lockStructure="1"/>
  <bookViews>
    <workbookView xWindow="-108" yWindow="-108" windowWidth="23256" windowHeight="12456" xr2:uid="{C56CF26A-8D9B-493B-A169-6DFEACD4E03F}"/>
  </bookViews>
  <sheets>
    <sheet name="HOW TO USE" sheetId="6" r:id="rId1"/>
    <sheet name="Air Source Heat Pump(s)" sheetId="3" r:id="rId2"/>
    <sheet name="Example" sheetId="5" state="hidden" r:id="rId3"/>
    <sheet name="phius_monthly climate data" sheetId="2" state="hidden" r:id="rId4"/>
  </sheets>
  <externalReferences>
    <externalReference r:id="rId5"/>
    <externalReference r:id="rId6"/>
    <externalReference r:id="rId7"/>
  </externalReferences>
  <definedNames>
    <definedName name="_R1" localSheetId="1">'[1]Fastener Correction'!#REF!</definedName>
    <definedName name="_R1" localSheetId="2">'[1]Fastener Correction'!#REF!</definedName>
    <definedName name="_R1" localSheetId="0">'[1]Fastener Correction'!#REF!</definedName>
    <definedName name="_R1">'[1]Fastener Correction'!#REF!</definedName>
    <definedName name="Af" localSheetId="1">'[1]Fastener Correction'!#REF!</definedName>
    <definedName name="Af" localSheetId="2">'[1]Fastener Correction'!#REF!</definedName>
    <definedName name="Af" localSheetId="0">'[1]Fastener Correction'!#REF!</definedName>
    <definedName name="Af">'[1]Fastener Correction'!#REF!</definedName>
    <definedName name="Ar">'[2]Fastener Correction'!#REF!</definedName>
    <definedName name="d0" localSheetId="1">'[1]Fastener Correction'!#REF!</definedName>
    <definedName name="d0" localSheetId="2">'[1]Fastener Correction'!#REF!</definedName>
    <definedName name="d0" localSheetId="0">'[1]Fastener Correction'!#REF!</definedName>
    <definedName name="d0">'[1]Fastener Correction'!#REF!</definedName>
    <definedName name="d1_" localSheetId="1">'[1]Fastener Correction'!#REF!</definedName>
    <definedName name="d1_" localSheetId="2">'[1]Fastener Correction'!#REF!</definedName>
    <definedName name="d1_" localSheetId="0">'[1]Fastener Correction'!#REF!</definedName>
    <definedName name="d1_">'[1]Fastener Correction'!#REF!</definedName>
    <definedName name="ef">'[1]Fastener Correction'!#REF!</definedName>
    <definedName name="Fensterdaten">#REF!</definedName>
    <definedName name="lmf" localSheetId="1">'[1]Fastener Correction'!#REF!</definedName>
    <definedName name="lmf" localSheetId="2">'[1]Fastener Correction'!#REF!</definedName>
    <definedName name="lmf" localSheetId="0">'[1]Fastener Correction'!#REF!</definedName>
    <definedName name="lmf">'[1]Fastener Correction'!#REF!</definedName>
    <definedName name="NameDrop" localSheetId="1">'[1]Common Areas (MF)'!#REF!:INDEX('[1]Common Areas (MF)'!#REF!,MAX('[1]Common Areas (MF)'!#REF!),1)</definedName>
    <definedName name="NameDrop" localSheetId="2">'[1]Common Areas (MF)'!#REF!:INDEX('[1]Common Areas (MF)'!#REF!,MAX('[1]Common Areas (MF)'!#REF!),1)</definedName>
    <definedName name="NameDrop" localSheetId="0">'[1]Common Areas (MF)'!#REF!:INDEX('[1]Common Areas (MF)'!#REF!,MAX('[1]Common Areas (MF)'!#REF!),1)</definedName>
    <definedName name="NameDrop">'[1]Common Areas (MF)'!#REF!:INDEX('[1]Common Areas (MF)'!#REF!,MAX('[1]Common Areas (MF)'!#REF!),1)</definedName>
    <definedName name="nf" localSheetId="1">'[1]Fastener Correction'!#REF!</definedName>
    <definedName name="nf" localSheetId="2">'[1]Fastener Correction'!#REF!</definedName>
    <definedName name="nf" localSheetId="0">'[1]Fastener Correction'!#REF!</definedName>
    <definedName name="nf">'[1]Fastener Correction'!#REF!</definedName>
    <definedName name="re">'[2]Fastener Correction'!#REF!</definedName>
    <definedName name="Rooms">[1]!Room_Type[Room Type]</definedName>
    <definedName name="RTh" localSheetId="1">'[1]Fastener Correction'!#REF!</definedName>
    <definedName name="RTh" localSheetId="2">'[1]Fastener Correction'!#REF!</definedName>
    <definedName name="RTh" localSheetId="0">'[1]Fastener Correction'!#REF!</definedName>
    <definedName name="RTh">'[1]Fastener Correction'!#REF!</definedName>
    <definedName name="solver_cvg" hidden="1">0.0001</definedName>
    <definedName name="solver_drv" hidden="1">1</definedName>
    <definedName name="solver_est" hidden="1">1</definedName>
    <definedName name="solver_itr" hidden="1">100</definedName>
    <definedName name="solver_lin" hidden="1">2</definedName>
    <definedName name="solver_neg" hidden="1">2</definedName>
    <definedName name="solver_num" hidden="1">0</definedName>
    <definedName name="solver_nwt" hidden="1">1</definedName>
    <definedName name="solver_pre" hidden="1">0.000001</definedName>
    <definedName name="solver_scl" hidden="1">2</definedName>
    <definedName name="solver_sho" hidden="1">2</definedName>
    <definedName name="solver_tim" hidden="1">100</definedName>
    <definedName name="solver_tol" hidden="1">0.05</definedName>
    <definedName name="solver_typ" hidden="1">2</definedName>
    <definedName name="solver_val" hidden="1">0</definedName>
    <definedName name="Z_11660EA0_834D_4736_B93B_F44BEA6FF964_.wvu.Rows" hidden="1">'[3]Compact SI'!#REF!</definedName>
    <definedName name="Z_33DA5C44_9B06_11DB_96B4_00E01850B65A_.wvu.PrintArea" hidden="1">'[3]WinType SI'!$A$2:$P$18,'[3]WinType SI'!$A$76:$I$92</definedName>
    <definedName name="Z_F915C42F_B875_438F_A5F9_8AB3862536D5_.wvu.Rows" hidden="1">'[3]Compact SI'!$18:$19,'[3]Compact SI'!$28:$29,'[3]Compact SI'!$31:$33,'[3]Compact SI'!$38:$38,'[3]Compact SI'!$41:$43,'[3]Compact SI'!$46:$48,'[3]Compact SI'!$51:$51,'[3]Compact SI'!$53:$55,'[3]Compact SI'!$57:$70,'[3]Compact SI'!$83:$134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6" i="3" l="1"/>
  <c r="M2" i="2"/>
  <c r="N2" i="2"/>
  <c r="O2" i="2"/>
  <c r="P2" i="2"/>
  <c r="Q2" i="2"/>
  <c r="R2" i="2"/>
  <c r="S2" i="2"/>
  <c r="T2" i="2"/>
  <c r="U2" i="2"/>
  <c r="V2" i="2"/>
  <c r="W2" i="2"/>
  <c r="X2" i="2"/>
  <c r="Y2" i="2"/>
  <c r="Z2" i="2"/>
  <c r="AA2" i="2"/>
  <c r="AB2" i="2"/>
  <c r="AC2" i="2"/>
  <c r="AD2" i="2"/>
  <c r="AE2" i="2"/>
  <c r="AF2" i="2"/>
  <c r="AG2" i="2"/>
  <c r="AH2" i="2"/>
  <c r="AI2" i="2"/>
  <c r="AJ2" i="2"/>
  <c r="AK2" i="2"/>
  <c r="AL2" i="2"/>
  <c r="AM2" i="2"/>
  <c r="AN2" i="2"/>
  <c r="AO2" i="2"/>
  <c r="AP2" i="2"/>
  <c r="AQ2" i="2"/>
  <c r="AR2" i="2"/>
  <c r="AS2" i="2"/>
  <c r="AT2" i="2"/>
  <c r="AU2" i="2"/>
  <c r="AV2" i="2"/>
  <c r="AW2" i="2"/>
  <c r="AX2" i="2"/>
  <c r="AY2" i="2"/>
  <c r="AZ2" i="2"/>
  <c r="BA2" i="2"/>
  <c r="BB2" i="2"/>
  <c r="BC2" i="2"/>
  <c r="BD2" i="2"/>
  <c r="BE2" i="2"/>
  <c r="BF2" i="2"/>
  <c r="BG2" i="2"/>
  <c r="BH2" i="2"/>
  <c r="BI2" i="2"/>
  <c r="BJ2" i="2"/>
  <c r="BK2" i="2"/>
  <c r="BL2" i="2"/>
  <c r="BM2" i="2"/>
  <c r="BN2" i="2"/>
  <c r="BO2" i="2"/>
  <c r="BP2" i="2"/>
  <c r="BQ2" i="2"/>
  <c r="BR2" i="2"/>
  <c r="BS2" i="2"/>
  <c r="BT2" i="2"/>
  <c r="BU2" i="2"/>
  <c r="BV2" i="2"/>
  <c r="BW2" i="2"/>
  <c r="BX2" i="2"/>
  <c r="BY2" i="2"/>
  <c r="BZ2" i="2"/>
  <c r="CA2" i="2"/>
  <c r="L2" i="2"/>
  <c r="I45" i="2"/>
  <c r="H46" i="2"/>
  <c r="I46" i="2"/>
  <c r="I47" i="2"/>
  <c r="I48" i="2"/>
  <c r="I49" i="2"/>
  <c r="I50" i="2"/>
  <c r="I51" i="2"/>
  <c r="I52" i="2"/>
  <c r="I53" i="2"/>
  <c r="I54" i="2"/>
  <c r="I55" i="2"/>
  <c r="H56" i="2"/>
  <c r="I56" i="2"/>
  <c r="H57" i="2"/>
  <c r="I57" i="2"/>
  <c r="I58" i="2"/>
  <c r="I59" i="2"/>
  <c r="I60" i="2"/>
  <c r="I61" i="2"/>
  <c r="I62" i="2"/>
  <c r="I63" i="2"/>
  <c r="I64" i="2"/>
  <c r="I65" i="2"/>
  <c r="I66" i="2"/>
  <c r="I67" i="2"/>
  <c r="I68" i="2"/>
  <c r="I69" i="2"/>
  <c r="I70" i="2"/>
  <c r="I71" i="2"/>
  <c r="I72" i="2"/>
  <c r="I73" i="2"/>
  <c r="I74" i="2"/>
  <c r="I75" i="2"/>
  <c r="I76" i="2"/>
  <c r="I77" i="2"/>
  <c r="I78" i="2"/>
  <c r="I79" i="2"/>
  <c r="I80" i="2"/>
  <c r="I81" i="2"/>
  <c r="I82" i="2"/>
  <c r="I83" i="2"/>
  <c r="I84" i="2"/>
  <c r="I44" i="2"/>
  <c r="I958" i="2"/>
  <c r="I930" i="2"/>
  <c r="W4" i="2" a="1"/>
  <c r="W4" i="2" s="1"/>
  <c r="G4" i="2"/>
  <c r="H45" i="2" s="1"/>
  <c r="T63" i="6"/>
  <c r="S63" i="6"/>
  <c r="AC63" i="6" s="1"/>
  <c r="R63" i="6"/>
  <c r="AB63" i="6" s="1"/>
  <c r="Q63" i="6"/>
  <c r="X63" i="6" s="1"/>
  <c r="T62" i="6"/>
  <c r="S62" i="6"/>
  <c r="AC62" i="6" s="1"/>
  <c r="R62" i="6"/>
  <c r="AB62" i="6" s="1"/>
  <c r="Q62" i="6"/>
  <c r="T61" i="6"/>
  <c r="S61" i="6"/>
  <c r="AC61" i="6" s="1"/>
  <c r="R61" i="6"/>
  <c r="Q61" i="6"/>
  <c r="X61" i="6" s="1"/>
  <c r="T60" i="6"/>
  <c r="S60" i="6"/>
  <c r="AC60" i="6" s="1"/>
  <c r="R60" i="6"/>
  <c r="Q60" i="6"/>
  <c r="X60" i="6" s="1"/>
  <c r="T59" i="6"/>
  <c r="S59" i="6"/>
  <c r="AC59" i="6" s="1"/>
  <c r="R59" i="6"/>
  <c r="AB59" i="6" s="1"/>
  <c r="Q59" i="6"/>
  <c r="X59" i="6" s="1"/>
  <c r="T58" i="6"/>
  <c r="S58" i="6"/>
  <c r="AC58" i="6" s="1"/>
  <c r="R58" i="6"/>
  <c r="Q58" i="6"/>
  <c r="X58" i="6" s="1"/>
  <c r="T57" i="6"/>
  <c r="S57" i="6"/>
  <c r="AC57" i="6" s="1"/>
  <c r="R57" i="6"/>
  <c r="AB57" i="6" s="1"/>
  <c r="Q57" i="6"/>
  <c r="T56" i="6"/>
  <c r="S56" i="6"/>
  <c r="AC56" i="6" s="1"/>
  <c r="R56" i="6"/>
  <c r="Q56" i="6"/>
  <c r="X56" i="6" s="1"/>
  <c r="T55" i="6"/>
  <c r="S55" i="6"/>
  <c r="AC55" i="6" s="1"/>
  <c r="R55" i="6"/>
  <c r="Q55" i="6"/>
  <c r="X55" i="6" s="1"/>
  <c r="T54" i="6"/>
  <c r="S54" i="6"/>
  <c r="AC54" i="6" s="1"/>
  <c r="R54" i="6"/>
  <c r="Q54" i="6"/>
  <c r="T53" i="6"/>
  <c r="S53" i="6"/>
  <c r="AC53" i="6" s="1"/>
  <c r="R53" i="6"/>
  <c r="AB53" i="6" s="1"/>
  <c r="Q53" i="6"/>
  <c r="X53" i="6" s="1"/>
  <c r="T52" i="6"/>
  <c r="S52" i="6"/>
  <c r="AC52" i="6" s="1"/>
  <c r="R52" i="6"/>
  <c r="AB52" i="6" s="1"/>
  <c r="Q52" i="6"/>
  <c r="T51" i="6"/>
  <c r="S51" i="6"/>
  <c r="AC51" i="6" s="1"/>
  <c r="R51" i="6"/>
  <c r="AB51" i="6" s="1"/>
  <c r="Q51" i="6"/>
  <c r="T50" i="6"/>
  <c r="S50" i="6"/>
  <c r="AC50" i="6" s="1"/>
  <c r="R50" i="6"/>
  <c r="Q50" i="6"/>
  <c r="X50" i="6" s="1"/>
  <c r="V50" i="6" s="1"/>
  <c r="T49" i="6"/>
  <c r="S49" i="6"/>
  <c r="AC49" i="6" s="1"/>
  <c r="R49" i="6"/>
  <c r="AB49" i="6" s="1"/>
  <c r="Q49" i="6"/>
  <c r="T48" i="6"/>
  <c r="S48" i="6"/>
  <c r="AC48" i="6" s="1"/>
  <c r="R48" i="6"/>
  <c r="AB48" i="6" s="1"/>
  <c r="Z48" i="6" s="1"/>
  <c r="Q48" i="6"/>
  <c r="X48" i="6" s="1"/>
  <c r="T47" i="6"/>
  <c r="S47" i="6"/>
  <c r="AC47" i="6" s="1"/>
  <c r="R47" i="6"/>
  <c r="AB47" i="6" s="1"/>
  <c r="Q47" i="6"/>
  <c r="T46" i="6"/>
  <c r="S46" i="6"/>
  <c r="AC46" i="6" s="1"/>
  <c r="R46" i="6"/>
  <c r="AB46" i="6" s="1"/>
  <c r="Q46" i="6"/>
  <c r="T45" i="6"/>
  <c r="S45" i="6"/>
  <c r="AC45" i="6" s="1"/>
  <c r="R45" i="6"/>
  <c r="AB45" i="6" s="1"/>
  <c r="Q45" i="6"/>
  <c r="X45" i="6" s="1"/>
  <c r="T44" i="6"/>
  <c r="S44" i="6"/>
  <c r="AC44" i="6" s="1"/>
  <c r="R44" i="6"/>
  <c r="AB44" i="6" s="1"/>
  <c r="Q44" i="6"/>
  <c r="X44" i="6" s="1"/>
  <c r="T43" i="6"/>
  <c r="S43" i="6"/>
  <c r="AC43" i="6" s="1"/>
  <c r="R43" i="6"/>
  <c r="AB43" i="6" s="1"/>
  <c r="Q43" i="6"/>
  <c r="X43" i="6" s="1"/>
  <c r="T42" i="6"/>
  <c r="S42" i="6"/>
  <c r="AC42" i="6" s="1"/>
  <c r="R42" i="6"/>
  <c r="AB42" i="6" s="1"/>
  <c r="Z42" i="6" s="1"/>
  <c r="Q42" i="6"/>
  <c r="X42" i="6" s="1"/>
  <c r="T41" i="6"/>
  <c r="S41" i="6"/>
  <c r="AC41" i="6" s="1"/>
  <c r="R41" i="6"/>
  <c r="AB41" i="6" s="1"/>
  <c r="Q41" i="6"/>
  <c r="T40" i="6"/>
  <c r="S40" i="6"/>
  <c r="AC40" i="6" s="1"/>
  <c r="R40" i="6"/>
  <c r="Q40" i="6"/>
  <c r="X40" i="6" s="1"/>
  <c r="T39" i="6"/>
  <c r="S39" i="6"/>
  <c r="AC39" i="6" s="1"/>
  <c r="R39" i="6"/>
  <c r="Q39" i="6"/>
  <c r="X39" i="6" s="1"/>
  <c r="T38" i="6"/>
  <c r="S38" i="6"/>
  <c r="AC38" i="6" s="1"/>
  <c r="R38" i="6"/>
  <c r="AB38" i="6" s="1"/>
  <c r="Q38" i="6"/>
  <c r="X38" i="6" s="1"/>
  <c r="V38" i="6" s="1"/>
  <c r="AD37" i="6"/>
  <c r="AC37" i="6"/>
  <c r="AA37" i="6"/>
  <c r="X37" i="6"/>
  <c r="AB37" i="6" s="1"/>
  <c r="V37" i="6"/>
  <c r="Z37" i="6" s="1"/>
  <c r="U37" i="6"/>
  <c r="Y37" i="6" s="1"/>
  <c r="T37" i="6"/>
  <c r="S37" i="6"/>
  <c r="G37" i="6"/>
  <c r="F37" i="6"/>
  <c r="AC36" i="6"/>
  <c r="E27" i="6"/>
  <c r="B24" i="6"/>
  <c r="B23" i="6"/>
  <c r="B22" i="6"/>
  <c r="B21" i="6"/>
  <c r="E19" i="6"/>
  <c r="E18" i="6"/>
  <c r="B18" i="6"/>
  <c r="E17" i="6"/>
  <c r="B17" i="6"/>
  <c r="E16" i="6"/>
  <c r="E15" i="6"/>
  <c r="B14" i="6"/>
  <c r="D5" i="6"/>
  <c r="C5" i="6"/>
  <c r="B5" i="6"/>
  <c r="D3" i="6"/>
  <c r="T58" i="5"/>
  <c r="AE58" i="5" s="1"/>
  <c r="S58" i="5"/>
  <c r="AC58" i="5" s="1"/>
  <c r="R58" i="5"/>
  <c r="AB58" i="5" s="1"/>
  <c r="Z58" i="5" s="1"/>
  <c r="Q58" i="5"/>
  <c r="X58" i="5" s="1"/>
  <c r="V58" i="5" s="1"/>
  <c r="T57" i="5"/>
  <c r="AE57" i="5" s="1"/>
  <c r="S57" i="5"/>
  <c r="AC57" i="5" s="1"/>
  <c r="R57" i="5"/>
  <c r="AB57" i="5" s="1"/>
  <c r="Q57" i="5"/>
  <c r="X57" i="5" s="1"/>
  <c r="T56" i="5"/>
  <c r="S56" i="5"/>
  <c r="AC56" i="5" s="1"/>
  <c r="R56" i="5"/>
  <c r="AB56" i="5" s="1"/>
  <c r="Q56" i="5"/>
  <c r="X56" i="5" s="1"/>
  <c r="V56" i="5" s="1"/>
  <c r="T55" i="5"/>
  <c r="AD55" i="5" s="1"/>
  <c r="S55" i="5"/>
  <c r="AC55" i="5" s="1"/>
  <c r="R55" i="5"/>
  <c r="AB55" i="5" s="1"/>
  <c r="Q55" i="5"/>
  <c r="X55" i="5" s="1"/>
  <c r="V55" i="5" s="1"/>
  <c r="T54" i="5"/>
  <c r="AD54" i="5" s="1"/>
  <c r="S54" i="5"/>
  <c r="AC54" i="5" s="1"/>
  <c r="R54" i="5"/>
  <c r="AB54" i="5" s="1"/>
  <c r="Z54" i="5" s="1"/>
  <c r="Q54" i="5"/>
  <c r="X54" i="5" s="1"/>
  <c r="V54" i="5" s="1"/>
  <c r="T53" i="5"/>
  <c r="AD53" i="5" s="1"/>
  <c r="S53" i="5"/>
  <c r="AC53" i="5" s="1"/>
  <c r="R53" i="5"/>
  <c r="AB53" i="5" s="1"/>
  <c r="Q53" i="5"/>
  <c r="X53" i="5" s="1"/>
  <c r="T52" i="5"/>
  <c r="AD52" i="5" s="1"/>
  <c r="S52" i="5"/>
  <c r="AC52" i="5" s="1"/>
  <c r="R52" i="5"/>
  <c r="AB52" i="5" s="1"/>
  <c r="Q52" i="5"/>
  <c r="X52" i="5" s="1"/>
  <c r="T51" i="5"/>
  <c r="AD51" i="5" s="1"/>
  <c r="S51" i="5"/>
  <c r="AC51" i="5" s="1"/>
  <c r="R51" i="5"/>
  <c r="AB51" i="5" s="1"/>
  <c r="Q51" i="5"/>
  <c r="X51" i="5" s="1"/>
  <c r="T50" i="5"/>
  <c r="S50" i="5"/>
  <c r="AC50" i="5" s="1"/>
  <c r="R50" i="5"/>
  <c r="AB50" i="5" s="1"/>
  <c r="Z50" i="5" s="1"/>
  <c r="Q50" i="5"/>
  <c r="X50" i="5" s="1"/>
  <c r="T49" i="5"/>
  <c r="S49" i="5"/>
  <c r="AC49" i="5" s="1"/>
  <c r="R49" i="5"/>
  <c r="AB49" i="5" s="1"/>
  <c r="Y49" i="5" s="1"/>
  <c r="Q49" i="5"/>
  <c r="X49" i="5" s="1"/>
  <c r="T48" i="5"/>
  <c r="S48" i="5"/>
  <c r="AC48" i="5" s="1"/>
  <c r="R48" i="5"/>
  <c r="AB48" i="5" s="1"/>
  <c r="Z48" i="5" s="1"/>
  <c r="Q48" i="5"/>
  <c r="X48" i="5" s="1"/>
  <c r="T47" i="5"/>
  <c r="S47" i="5"/>
  <c r="AC47" i="5" s="1"/>
  <c r="R47" i="5"/>
  <c r="AB47" i="5" s="1"/>
  <c r="Q47" i="5"/>
  <c r="X47" i="5" s="1"/>
  <c r="T46" i="5"/>
  <c r="S46" i="5"/>
  <c r="AC46" i="5" s="1"/>
  <c r="R46" i="5"/>
  <c r="AB46" i="5" s="1"/>
  <c r="Z46" i="5" s="1"/>
  <c r="Q46" i="5"/>
  <c r="X46" i="5" s="1"/>
  <c r="T45" i="5"/>
  <c r="S45" i="5"/>
  <c r="AC45" i="5" s="1"/>
  <c r="R45" i="5"/>
  <c r="AB45" i="5" s="1"/>
  <c r="Q45" i="5"/>
  <c r="X45" i="5" s="1"/>
  <c r="T44" i="5"/>
  <c r="S44" i="5"/>
  <c r="AC44" i="5" s="1"/>
  <c r="R44" i="5"/>
  <c r="AB44" i="5" s="1"/>
  <c r="Z44" i="5" s="1"/>
  <c r="Q44" i="5"/>
  <c r="X44" i="5" s="1"/>
  <c r="T43" i="5"/>
  <c r="S43" i="5"/>
  <c r="AC43" i="5" s="1"/>
  <c r="R43" i="5"/>
  <c r="AB43" i="5" s="1"/>
  <c r="Q43" i="5"/>
  <c r="X43" i="5" s="1"/>
  <c r="T42" i="5"/>
  <c r="S42" i="5"/>
  <c r="AC42" i="5" s="1"/>
  <c r="R42" i="5"/>
  <c r="AB42" i="5" s="1"/>
  <c r="Z42" i="5" s="1"/>
  <c r="Q42" i="5"/>
  <c r="X42" i="5" s="1"/>
  <c r="T41" i="5"/>
  <c r="S41" i="5"/>
  <c r="AC41" i="5" s="1"/>
  <c r="R41" i="5"/>
  <c r="AB41" i="5" s="1"/>
  <c r="Y41" i="5" s="1"/>
  <c r="Q41" i="5"/>
  <c r="X41" i="5" s="1"/>
  <c r="T40" i="5"/>
  <c r="S40" i="5"/>
  <c r="AC40" i="5" s="1"/>
  <c r="R40" i="5"/>
  <c r="AB40" i="5" s="1"/>
  <c r="Z40" i="5" s="1"/>
  <c r="Q40" i="5"/>
  <c r="X40" i="5" s="1"/>
  <c r="T39" i="5"/>
  <c r="S39" i="5"/>
  <c r="AC39" i="5" s="1"/>
  <c r="R39" i="5"/>
  <c r="AB39" i="5" s="1"/>
  <c r="Y39" i="5" s="1"/>
  <c r="Q39" i="5"/>
  <c r="X39" i="5" s="1"/>
  <c r="T38" i="5"/>
  <c r="S38" i="5"/>
  <c r="AC38" i="5" s="1"/>
  <c r="R38" i="5"/>
  <c r="AB38" i="5" s="1"/>
  <c r="Z38" i="5" s="1"/>
  <c r="Q38" i="5"/>
  <c r="X38" i="5" s="1"/>
  <c r="T37" i="5"/>
  <c r="S37" i="5"/>
  <c r="AC37" i="5" s="1"/>
  <c r="R37" i="5"/>
  <c r="AB37" i="5" s="1"/>
  <c r="Q37" i="5"/>
  <c r="X37" i="5" s="1"/>
  <c r="T36" i="5"/>
  <c r="S36" i="5"/>
  <c r="AC36" i="5" s="1"/>
  <c r="R36" i="5"/>
  <c r="AB36" i="5" s="1"/>
  <c r="Z36" i="5" s="1"/>
  <c r="Q36" i="5"/>
  <c r="X36" i="5" s="1"/>
  <c r="T35" i="5"/>
  <c r="S35" i="5"/>
  <c r="AC35" i="5" s="1"/>
  <c r="R35" i="5"/>
  <c r="AB35" i="5" s="1"/>
  <c r="Q35" i="5"/>
  <c r="X35" i="5" s="1"/>
  <c r="T34" i="5"/>
  <c r="S34" i="5"/>
  <c r="AC34" i="5" s="1"/>
  <c r="R34" i="5"/>
  <c r="AB34" i="5" s="1"/>
  <c r="Z34" i="5" s="1"/>
  <c r="Q34" i="5"/>
  <c r="X34" i="5" s="1"/>
  <c r="T33" i="5"/>
  <c r="S33" i="5"/>
  <c r="AC33" i="5" s="1"/>
  <c r="R33" i="5"/>
  <c r="AB33" i="5" s="1"/>
  <c r="AD32" i="5"/>
  <c r="AC32" i="5"/>
  <c r="AA32" i="5"/>
  <c r="X32" i="5"/>
  <c r="AB32" i="5" s="1"/>
  <c r="V32" i="5"/>
  <c r="Z32" i="5" s="1"/>
  <c r="U32" i="5"/>
  <c r="Y32" i="5" s="1"/>
  <c r="T32" i="5"/>
  <c r="S32" i="5"/>
  <c r="G32" i="5"/>
  <c r="F32" i="5"/>
  <c r="AC31" i="5"/>
  <c r="B15" i="5"/>
  <c r="D8" i="5"/>
  <c r="C8" i="5"/>
  <c r="B8" i="5"/>
  <c r="E6" i="5"/>
  <c r="D6" i="5"/>
  <c r="H53" i="2" l="1"/>
  <c r="H54" i="2"/>
  <c r="H47" i="2"/>
  <c r="H51" i="2"/>
  <c r="H52" i="2"/>
  <c r="H44" i="2"/>
  <c r="H50" i="2"/>
  <c r="H49" i="2"/>
  <c r="H48" i="2"/>
  <c r="H55" i="2"/>
  <c r="AB58" i="6"/>
  <c r="Z58" i="6" s="1"/>
  <c r="X47" i="6"/>
  <c r="V47" i="6" s="1"/>
  <c r="Y44" i="6"/>
  <c r="Z44" i="6"/>
  <c r="U50" i="6"/>
  <c r="V60" i="6"/>
  <c r="U60" i="6"/>
  <c r="Z51" i="6"/>
  <c r="Y51" i="6"/>
  <c r="V63" i="6"/>
  <c r="U63" i="6"/>
  <c r="X54" i="6"/>
  <c r="V54" i="6" s="1"/>
  <c r="AB54" i="6"/>
  <c r="Z54" i="6" s="1"/>
  <c r="AB61" i="6"/>
  <c r="Y61" i="6" s="1"/>
  <c r="X51" i="6"/>
  <c r="V51" i="6" s="1"/>
  <c r="AB60" i="6"/>
  <c r="Z60" i="6" s="1"/>
  <c r="Z63" i="6"/>
  <c r="Y63" i="6"/>
  <c r="Y47" i="6"/>
  <c r="Z47" i="6"/>
  <c r="Y57" i="6"/>
  <c r="Z57" i="6"/>
  <c r="Y45" i="6"/>
  <c r="Z45" i="6"/>
  <c r="V44" i="6"/>
  <c r="U44" i="6"/>
  <c r="Z38" i="6"/>
  <c r="Y38" i="6"/>
  <c r="Z41" i="6"/>
  <c r="Y41" i="6"/>
  <c r="X57" i="6"/>
  <c r="X41" i="6"/>
  <c r="AB55" i="6"/>
  <c r="Z55" i="6" s="1"/>
  <c r="Y48" i="6"/>
  <c r="AB39" i="6"/>
  <c r="Z39" i="6" s="1"/>
  <c r="V43" i="6"/>
  <c r="U43" i="6"/>
  <c r="Z49" i="6"/>
  <c r="Y49" i="6"/>
  <c r="Z43" i="6"/>
  <c r="Y43" i="6"/>
  <c r="Z52" i="6"/>
  <c r="Y52" i="6"/>
  <c r="Z62" i="6"/>
  <c r="Y62" i="6"/>
  <c r="V48" i="6"/>
  <c r="U48" i="6"/>
  <c r="V53" i="6"/>
  <c r="U53" i="6"/>
  <c r="V39" i="6"/>
  <c r="U39" i="6"/>
  <c r="Z53" i="6"/>
  <c r="Y53" i="6"/>
  <c r="Y46" i="6"/>
  <c r="Z46" i="6"/>
  <c r="V58" i="6"/>
  <c r="U58" i="6"/>
  <c r="V45" i="6"/>
  <c r="U45" i="6"/>
  <c r="V56" i="6"/>
  <c r="U56" i="6"/>
  <c r="V40" i="6"/>
  <c r="U40" i="6"/>
  <c r="V61" i="6"/>
  <c r="U61" i="6"/>
  <c r="Z59" i="6"/>
  <c r="Y59" i="6"/>
  <c r="V59" i="6"/>
  <c r="U59" i="6"/>
  <c r="V55" i="6"/>
  <c r="U55" i="6"/>
  <c r="V42" i="6"/>
  <c r="U42" i="6"/>
  <c r="X49" i="6"/>
  <c r="AB40" i="6"/>
  <c r="X52" i="6"/>
  <c r="AB56" i="6"/>
  <c r="X46" i="6"/>
  <c r="X62" i="6"/>
  <c r="Y42" i="6"/>
  <c r="AB50" i="6"/>
  <c r="U38" i="6"/>
  <c r="AD38" i="6"/>
  <c r="AD39" i="6"/>
  <c r="AD40" i="6"/>
  <c r="AD41" i="6"/>
  <c r="AD42" i="6"/>
  <c r="AD43" i="6"/>
  <c r="AD44" i="6"/>
  <c r="AD45" i="6"/>
  <c r="AD46" i="6"/>
  <c r="AD47" i="6"/>
  <c r="AD48" i="6"/>
  <c r="AD49" i="6"/>
  <c r="AD50" i="6"/>
  <c r="AD51" i="6"/>
  <c r="AD52" i="6"/>
  <c r="AD53" i="6"/>
  <c r="AD54" i="6"/>
  <c r="AD55" i="6"/>
  <c r="AD56" i="6"/>
  <c r="AD57" i="6"/>
  <c r="AD58" i="6"/>
  <c r="AD59" i="6"/>
  <c r="AD60" i="6"/>
  <c r="AD61" i="6"/>
  <c r="AD62" i="6"/>
  <c r="AD63" i="6"/>
  <c r="AE38" i="6"/>
  <c r="AE39" i="6"/>
  <c r="AE40" i="6"/>
  <c r="AE41" i="6"/>
  <c r="AE42" i="6"/>
  <c r="AE43" i="6"/>
  <c r="AE44" i="6"/>
  <c r="AE45" i="6"/>
  <c r="AE46" i="6"/>
  <c r="AE47" i="6"/>
  <c r="AE48" i="6"/>
  <c r="AE49" i="6"/>
  <c r="AE50" i="6"/>
  <c r="AE51" i="6"/>
  <c r="AE52" i="6"/>
  <c r="AE53" i="6"/>
  <c r="AE54" i="6"/>
  <c r="AE55" i="6"/>
  <c r="AE56" i="6"/>
  <c r="AE57" i="6"/>
  <c r="AE58" i="6"/>
  <c r="AE59" i="6"/>
  <c r="AE60" i="6"/>
  <c r="AE61" i="6"/>
  <c r="AE62" i="6"/>
  <c r="AE63" i="6"/>
  <c r="Z41" i="5"/>
  <c r="B21" i="5"/>
  <c r="Z49" i="5"/>
  <c r="Y37" i="5"/>
  <c r="Z37" i="5"/>
  <c r="Y45" i="5"/>
  <c r="Z45" i="5"/>
  <c r="Z56" i="5"/>
  <c r="Y56" i="5"/>
  <c r="Y55" i="5"/>
  <c r="Z55" i="5"/>
  <c r="Y35" i="5"/>
  <c r="Z35" i="5"/>
  <c r="Y53" i="5"/>
  <c r="Z53" i="5"/>
  <c r="Y47" i="5"/>
  <c r="Z47" i="5"/>
  <c r="Y51" i="5"/>
  <c r="Z51" i="5"/>
  <c r="Y43" i="5"/>
  <c r="Z43" i="5"/>
  <c r="Z52" i="5"/>
  <c r="Y52" i="5"/>
  <c r="Y33" i="5"/>
  <c r="Z33" i="5"/>
  <c r="Y57" i="5"/>
  <c r="Z57" i="5"/>
  <c r="Z39" i="5"/>
  <c r="AD58" i="5"/>
  <c r="Y34" i="5"/>
  <c r="Y36" i="5"/>
  <c r="Y38" i="5"/>
  <c r="Y40" i="5"/>
  <c r="Y42" i="5"/>
  <c r="Y44" i="5"/>
  <c r="Y46" i="5"/>
  <c r="Y48" i="5"/>
  <c r="Y50" i="5"/>
  <c r="AD57" i="5"/>
  <c r="Y54" i="5"/>
  <c r="Y58" i="5"/>
  <c r="V44" i="5"/>
  <c r="U44" i="5"/>
  <c r="V41" i="5"/>
  <c r="U41" i="5"/>
  <c r="V49" i="5"/>
  <c r="U49" i="5"/>
  <c r="V57" i="5"/>
  <c r="U57" i="5"/>
  <c r="V40" i="5"/>
  <c r="U40" i="5"/>
  <c r="V48" i="5"/>
  <c r="U48" i="5"/>
  <c r="V37" i="5"/>
  <c r="U37" i="5"/>
  <c r="V45" i="5"/>
  <c r="U45" i="5"/>
  <c r="E14" i="5"/>
  <c r="E15" i="5"/>
  <c r="B14" i="5"/>
  <c r="E13" i="5"/>
  <c r="E12" i="5"/>
  <c r="V38" i="5"/>
  <c r="U38" i="5"/>
  <c r="V46" i="5"/>
  <c r="U46" i="5"/>
  <c r="V35" i="5"/>
  <c r="U35" i="5"/>
  <c r="V43" i="5"/>
  <c r="U43" i="5"/>
  <c r="V34" i="5"/>
  <c r="U34" i="5"/>
  <c r="V42" i="5"/>
  <c r="U42" i="5"/>
  <c r="V50" i="5"/>
  <c r="U50" i="5"/>
  <c r="V53" i="5"/>
  <c r="U53" i="5"/>
  <c r="V36" i="5"/>
  <c r="U36" i="5"/>
  <c r="V52" i="5"/>
  <c r="U52" i="5"/>
  <c r="V51" i="5"/>
  <c r="U51" i="5"/>
  <c r="E16" i="5"/>
  <c r="Q33" i="5"/>
  <c r="B20" i="5"/>
  <c r="E21" i="5"/>
  <c r="B19" i="5"/>
  <c r="B18" i="5"/>
  <c r="E17" i="5"/>
  <c r="V39" i="5"/>
  <c r="U39" i="5"/>
  <c r="V47" i="5"/>
  <c r="U47" i="5"/>
  <c r="AD33" i="5"/>
  <c r="AD34" i="5"/>
  <c r="AD35" i="5"/>
  <c r="AD36" i="5"/>
  <c r="AD37" i="5"/>
  <c r="AD38" i="5"/>
  <c r="AD39" i="5"/>
  <c r="AD40" i="5"/>
  <c r="AD41" i="5"/>
  <c r="AD42" i="5"/>
  <c r="AD43" i="5"/>
  <c r="AD44" i="5"/>
  <c r="AD45" i="5"/>
  <c r="AD46" i="5"/>
  <c r="AD47" i="5"/>
  <c r="AD48" i="5"/>
  <c r="AD49" i="5"/>
  <c r="AD50" i="5"/>
  <c r="AD56" i="5"/>
  <c r="AE33" i="5"/>
  <c r="AE34" i="5"/>
  <c r="AE35" i="5"/>
  <c r="AE36" i="5"/>
  <c r="AE37" i="5"/>
  <c r="AE38" i="5"/>
  <c r="AE39" i="5"/>
  <c r="AE40" i="5"/>
  <c r="AE41" i="5"/>
  <c r="AE42" i="5"/>
  <c r="AE43" i="5"/>
  <c r="AE44" i="5"/>
  <c r="AE45" i="5"/>
  <c r="AE46" i="5"/>
  <c r="AE47" i="5"/>
  <c r="AE48" i="5"/>
  <c r="AE49" i="5"/>
  <c r="AE50" i="5"/>
  <c r="AE51" i="5"/>
  <c r="AE52" i="5"/>
  <c r="AE53" i="5"/>
  <c r="AE54" i="5"/>
  <c r="AE55" i="5"/>
  <c r="AE56" i="5"/>
  <c r="U54" i="5"/>
  <c r="U55" i="5"/>
  <c r="U56" i="5"/>
  <c r="U58" i="5"/>
  <c r="D6" i="3"/>
  <c r="D8" i="3"/>
  <c r="C8" i="3"/>
  <c r="C17" i="3" a="1"/>
  <c r="C17" i="3" s="1"/>
  <c r="C13" i="3" a="1"/>
  <c r="C13" i="3" s="1"/>
  <c r="B8" i="3"/>
  <c r="Y58" i="6" l="1"/>
  <c r="Y54" i="6"/>
  <c r="U47" i="6"/>
  <c r="Y39" i="6"/>
  <c r="Z61" i="6"/>
  <c r="U51" i="6"/>
  <c r="Y60" i="6"/>
  <c r="U54" i="6"/>
  <c r="Y55" i="6"/>
  <c r="V41" i="6"/>
  <c r="U41" i="6"/>
  <c r="V57" i="6"/>
  <c r="U57" i="6"/>
  <c r="Y40" i="6"/>
  <c r="Z40" i="6"/>
  <c r="Y56" i="6"/>
  <c r="Z56" i="6"/>
  <c r="Z50" i="6"/>
  <c r="Y50" i="6"/>
  <c r="V62" i="6"/>
  <c r="U62" i="6"/>
  <c r="V49" i="6"/>
  <c r="U49" i="6"/>
  <c r="V46" i="6"/>
  <c r="U46" i="6"/>
  <c r="V52" i="6"/>
  <c r="U52" i="6"/>
  <c r="E13" i="3"/>
  <c r="E21" i="3"/>
  <c r="X33" i="5"/>
  <c r="E18" i="5"/>
  <c r="E19" i="5"/>
  <c r="E20" i="5"/>
  <c r="B18" i="3"/>
  <c r="B19" i="3"/>
  <c r="B20" i="3"/>
  <c r="B21" i="3"/>
  <c r="B15" i="3"/>
  <c r="B14" i="3"/>
  <c r="E16" i="3"/>
  <c r="E12" i="3"/>
  <c r="C18" i="3"/>
  <c r="C20" i="3" a="1"/>
  <c r="C20" i="3" s="1"/>
  <c r="C19" i="3" s="1"/>
  <c r="E17" i="3"/>
  <c r="E14" i="3"/>
  <c r="E15" i="3"/>
  <c r="C14" i="3" a="1"/>
  <c r="C14" i="3" s="1"/>
  <c r="V33" i="5" l="1"/>
  <c r="U33" i="5"/>
  <c r="E20" i="3"/>
  <c r="E19" i="3"/>
  <c r="E18" i="3"/>
  <c r="I85" i="2"/>
  <c r="I86" i="2"/>
  <c r="I87" i="2"/>
  <c r="I88" i="2"/>
  <c r="I89" i="2"/>
  <c r="I90" i="2"/>
  <c r="I91" i="2"/>
  <c r="I92" i="2"/>
  <c r="I94" i="2"/>
  <c r="I95" i="2"/>
  <c r="I96" i="2"/>
  <c r="I97" i="2"/>
  <c r="I98" i="2"/>
  <c r="I99" i="2"/>
  <c r="I101" i="2"/>
  <c r="I102" i="2"/>
  <c r="I103" i="2"/>
  <c r="I104" i="2"/>
  <c r="I105" i="2"/>
  <c r="I106" i="2"/>
  <c r="I107" i="2"/>
  <c r="I108" i="2"/>
  <c r="I109" i="2"/>
  <c r="I110" i="2"/>
  <c r="I111" i="2"/>
  <c r="I112" i="2"/>
  <c r="I113" i="2"/>
  <c r="I114" i="2"/>
  <c r="I115" i="2"/>
  <c r="I116" i="2"/>
  <c r="I117" i="2"/>
  <c r="I118" i="2"/>
  <c r="I119" i="2"/>
  <c r="I120" i="2"/>
  <c r="I121" i="2"/>
  <c r="I122" i="2"/>
  <c r="I123" i="2"/>
  <c r="I124" i="2"/>
  <c r="I125" i="2"/>
  <c r="I126" i="2"/>
  <c r="I127" i="2"/>
  <c r="I128" i="2"/>
  <c r="I129" i="2"/>
  <c r="I130" i="2"/>
  <c r="I131" i="2"/>
  <c r="I133" i="2"/>
  <c r="I134" i="2"/>
  <c r="I135" i="2"/>
  <c r="I136" i="2"/>
  <c r="I137" i="2"/>
  <c r="I138" i="2"/>
  <c r="I139" i="2"/>
  <c r="I140" i="2"/>
  <c r="I141" i="2"/>
  <c r="I142" i="2"/>
  <c r="I143" i="2"/>
  <c r="I144" i="2"/>
  <c r="I145" i="2"/>
  <c r="I146" i="2"/>
  <c r="I147" i="2"/>
  <c r="I148" i="2"/>
  <c r="I149" i="2"/>
  <c r="I150" i="2"/>
  <c r="I151" i="2"/>
  <c r="I152" i="2"/>
  <c r="I153" i="2"/>
  <c r="I154" i="2"/>
  <c r="I155" i="2"/>
  <c r="I156" i="2"/>
  <c r="I157" i="2"/>
  <c r="I158" i="2"/>
  <c r="I159" i="2"/>
  <c r="I160" i="2"/>
  <c r="I161" i="2"/>
  <c r="I162" i="2"/>
  <c r="I163" i="2"/>
  <c r="I164" i="2"/>
  <c r="I165" i="2"/>
  <c r="I166" i="2"/>
  <c r="I167" i="2"/>
  <c r="I168" i="2"/>
  <c r="I169" i="2"/>
  <c r="I170" i="2"/>
  <c r="I171" i="2"/>
  <c r="I172" i="2"/>
  <c r="I173" i="2"/>
  <c r="I174" i="2"/>
  <c r="I175" i="2"/>
  <c r="I177" i="2"/>
  <c r="I178" i="2"/>
  <c r="I179" i="2"/>
  <c r="I180" i="2"/>
  <c r="I181" i="2"/>
  <c r="I182" i="2"/>
  <c r="I183" i="2"/>
  <c r="I184" i="2"/>
  <c r="I185" i="2"/>
  <c r="I186" i="2"/>
  <c r="I187" i="2"/>
  <c r="I188" i="2"/>
  <c r="I189" i="2"/>
  <c r="I190" i="2"/>
  <c r="I191" i="2"/>
  <c r="I192" i="2"/>
  <c r="I193" i="2"/>
  <c r="I194" i="2"/>
  <c r="I195" i="2"/>
  <c r="I196" i="2"/>
  <c r="I197" i="2"/>
  <c r="I198" i="2"/>
  <c r="I199" i="2"/>
  <c r="I200" i="2"/>
  <c r="I201" i="2"/>
  <c r="I202" i="2"/>
  <c r="I203" i="2"/>
  <c r="I204" i="2"/>
  <c r="I205" i="2"/>
  <c r="I206" i="2"/>
  <c r="I207" i="2"/>
  <c r="I208" i="2"/>
  <c r="I209" i="2"/>
  <c r="I210" i="2"/>
  <c r="I211" i="2"/>
  <c r="I212" i="2"/>
  <c r="I213" i="2"/>
  <c r="I214" i="2"/>
  <c r="I215" i="2"/>
  <c r="I216" i="2"/>
  <c r="I217" i="2"/>
  <c r="I218" i="2"/>
  <c r="I219" i="2"/>
  <c r="I220" i="2"/>
  <c r="I221" i="2"/>
  <c r="I222" i="2"/>
  <c r="I223" i="2"/>
  <c r="I225" i="2"/>
  <c r="I226" i="2"/>
  <c r="I227" i="2"/>
  <c r="I228" i="2"/>
  <c r="I230" i="2"/>
  <c r="I231" i="2"/>
  <c r="I232" i="2"/>
  <c r="I234" i="2"/>
  <c r="I235" i="2"/>
  <c r="I236" i="2"/>
  <c r="I237" i="2"/>
  <c r="I238" i="2"/>
  <c r="I239" i="2"/>
  <c r="I240" i="2"/>
  <c r="I241" i="2"/>
  <c r="I242" i="2"/>
  <c r="I243" i="2"/>
  <c r="I244" i="2"/>
  <c r="I245" i="2"/>
  <c r="I246" i="2"/>
  <c r="I247" i="2"/>
  <c r="I248" i="2"/>
  <c r="I249" i="2"/>
  <c r="I250" i="2"/>
  <c r="I251" i="2"/>
  <c r="I252" i="2"/>
  <c r="I253" i="2"/>
  <c r="I254" i="2"/>
  <c r="I255" i="2"/>
  <c r="I256" i="2"/>
  <c r="I257" i="2"/>
  <c r="I258" i="2"/>
  <c r="I259" i="2"/>
  <c r="I260" i="2"/>
  <c r="I261" i="2"/>
  <c r="I262" i="2"/>
  <c r="I263" i="2"/>
  <c r="I264" i="2"/>
  <c r="I265" i="2"/>
  <c r="I266" i="2"/>
  <c r="I267" i="2"/>
  <c r="I268" i="2"/>
  <c r="I269" i="2"/>
  <c r="I270" i="2"/>
  <c r="I271" i="2"/>
  <c r="I272" i="2"/>
  <c r="I275" i="2"/>
  <c r="I276" i="2"/>
  <c r="I277" i="2"/>
  <c r="I278" i="2"/>
  <c r="I279" i="2"/>
  <c r="I280" i="2"/>
  <c r="I281" i="2"/>
  <c r="I282" i="2"/>
  <c r="I283" i="2"/>
  <c r="I284" i="2"/>
  <c r="I285" i="2"/>
  <c r="I286" i="2"/>
  <c r="I287" i="2"/>
  <c r="I288" i="2"/>
  <c r="I289" i="2"/>
  <c r="I290" i="2"/>
  <c r="I291" i="2"/>
  <c r="I292" i="2"/>
  <c r="I293" i="2"/>
  <c r="I294" i="2"/>
  <c r="I295" i="2"/>
  <c r="I296" i="2"/>
  <c r="I297" i="2"/>
  <c r="I298" i="2"/>
  <c r="I299" i="2"/>
  <c r="I300" i="2"/>
  <c r="I301" i="2"/>
  <c r="I302" i="2"/>
  <c r="I303" i="2"/>
  <c r="I304" i="2"/>
  <c r="I305" i="2"/>
  <c r="I306" i="2"/>
  <c r="I307" i="2"/>
  <c r="I308" i="2"/>
  <c r="I309" i="2"/>
  <c r="I310" i="2"/>
  <c r="I311" i="2"/>
  <c r="I312" i="2"/>
  <c r="I313" i="2"/>
  <c r="I314" i="2"/>
  <c r="I315" i="2"/>
  <c r="I316" i="2"/>
  <c r="I317" i="2"/>
  <c r="I318" i="2"/>
  <c r="I319" i="2"/>
  <c r="I320" i="2"/>
  <c r="I321" i="2"/>
  <c r="I322" i="2"/>
  <c r="I323" i="2"/>
  <c r="I324" i="2"/>
  <c r="I325" i="2"/>
  <c r="I326" i="2"/>
  <c r="I327" i="2"/>
  <c r="I328" i="2"/>
  <c r="I329" i="2"/>
  <c r="I330" i="2"/>
  <c r="I331" i="2"/>
  <c r="I332" i="2"/>
  <c r="I333" i="2"/>
  <c r="I334" i="2"/>
  <c r="I335" i="2"/>
  <c r="I336" i="2"/>
  <c r="I337" i="2"/>
  <c r="I338" i="2"/>
  <c r="I339" i="2"/>
  <c r="I340" i="2"/>
  <c r="I341" i="2"/>
  <c r="I343" i="2"/>
  <c r="I344" i="2"/>
  <c r="I345" i="2"/>
  <c r="I346" i="2"/>
  <c r="I347" i="2"/>
  <c r="I348" i="2"/>
  <c r="I349" i="2"/>
  <c r="I350" i="2"/>
  <c r="I351" i="2"/>
  <c r="I352" i="2"/>
  <c r="I353" i="2"/>
  <c r="I354" i="2"/>
  <c r="I355" i="2"/>
  <c r="I356" i="2"/>
  <c r="I357" i="2"/>
  <c r="I358" i="2"/>
  <c r="I359" i="2"/>
  <c r="I360" i="2"/>
  <c r="I361" i="2"/>
  <c r="I362" i="2"/>
  <c r="I363" i="2"/>
  <c r="I364" i="2"/>
  <c r="I365" i="2"/>
  <c r="I366" i="2"/>
  <c r="I367" i="2"/>
  <c r="I368" i="2"/>
  <c r="I369" i="2"/>
  <c r="I370" i="2"/>
  <c r="I371" i="2"/>
  <c r="I372" i="2"/>
  <c r="I373" i="2"/>
  <c r="I374" i="2"/>
  <c r="I375" i="2"/>
  <c r="I376" i="2"/>
  <c r="I377" i="2"/>
  <c r="I378" i="2"/>
  <c r="I379" i="2"/>
  <c r="I380" i="2"/>
  <c r="I381" i="2"/>
  <c r="I382" i="2"/>
  <c r="I383" i="2"/>
  <c r="I384" i="2"/>
  <c r="I385" i="2"/>
  <c r="I386" i="2"/>
  <c r="I387" i="2"/>
  <c r="I388" i="2"/>
  <c r="I389" i="2"/>
  <c r="I390" i="2"/>
  <c r="I391" i="2"/>
  <c r="I392" i="2"/>
  <c r="I393" i="2"/>
  <c r="I394" i="2"/>
  <c r="I395" i="2"/>
  <c r="I396" i="2"/>
  <c r="I397" i="2"/>
  <c r="I398" i="2"/>
  <c r="I399" i="2"/>
  <c r="I400" i="2"/>
  <c r="I401" i="2"/>
  <c r="I402" i="2"/>
  <c r="I403" i="2"/>
  <c r="I404" i="2"/>
  <c r="I405" i="2"/>
  <c r="I406" i="2"/>
  <c r="I407" i="2"/>
  <c r="I408" i="2"/>
  <c r="I409" i="2"/>
  <c r="I410" i="2"/>
  <c r="I411" i="2"/>
  <c r="I412" i="2"/>
  <c r="I413" i="2"/>
  <c r="I414" i="2"/>
  <c r="I415" i="2"/>
  <c r="I416" i="2"/>
  <c r="I417" i="2"/>
  <c r="I418" i="2"/>
  <c r="I419" i="2"/>
  <c r="I420" i="2"/>
  <c r="I421" i="2"/>
  <c r="I422" i="2"/>
  <c r="I423" i="2"/>
  <c r="I424" i="2"/>
  <c r="I425" i="2"/>
  <c r="I426" i="2"/>
  <c r="I427" i="2"/>
  <c r="I428" i="2"/>
  <c r="I429" i="2"/>
  <c r="I430" i="2"/>
  <c r="I431" i="2"/>
  <c r="I432" i="2"/>
  <c r="I433" i="2"/>
  <c r="I434" i="2"/>
  <c r="I435" i="2"/>
  <c r="I436" i="2"/>
  <c r="I437" i="2"/>
  <c r="I438" i="2"/>
  <c r="I439" i="2"/>
  <c r="I441" i="2"/>
  <c r="I442" i="2"/>
  <c r="I443" i="2"/>
  <c r="I444" i="2"/>
  <c r="I445" i="2"/>
  <c r="I446" i="2"/>
  <c r="I447" i="2"/>
  <c r="I448" i="2"/>
  <c r="I449" i="2"/>
  <c r="I450" i="2"/>
  <c r="I451" i="2"/>
  <c r="I452" i="2"/>
  <c r="I453" i="2"/>
  <c r="I454" i="2"/>
  <c r="I455" i="2"/>
  <c r="I456" i="2"/>
  <c r="I457" i="2"/>
  <c r="I458" i="2"/>
  <c r="I459" i="2"/>
  <c r="I460" i="2"/>
  <c r="I461" i="2"/>
  <c r="I462" i="2"/>
  <c r="I463" i="2"/>
  <c r="I464" i="2"/>
  <c r="I465" i="2"/>
  <c r="I466" i="2"/>
  <c r="I467" i="2"/>
  <c r="I468" i="2"/>
  <c r="I469" i="2"/>
  <c r="I470" i="2"/>
  <c r="I471" i="2"/>
  <c r="I472" i="2"/>
  <c r="I473" i="2"/>
  <c r="I474" i="2"/>
  <c r="I475" i="2"/>
  <c r="I476" i="2"/>
  <c r="I477" i="2"/>
  <c r="I478" i="2"/>
  <c r="I479" i="2"/>
  <c r="I480" i="2"/>
  <c r="I481" i="2"/>
  <c r="I482" i="2"/>
  <c r="I483" i="2"/>
  <c r="I484" i="2"/>
  <c r="I485" i="2"/>
  <c r="I486" i="2"/>
  <c r="I487" i="2"/>
  <c r="I488" i="2"/>
  <c r="I489" i="2"/>
  <c r="I490" i="2"/>
  <c r="I491" i="2"/>
  <c r="I492" i="2"/>
  <c r="I493" i="2"/>
  <c r="I494" i="2"/>
  <c r="I495" i="2"/>
  <c r="I496" i="2"/>
  <c r="I497" i="2"/>
  <c r="I498" i="2"/>
  <c r="I499" i="2"/>
  <c r="I500" i="2"/>
  <c r="I501" i="2"/>
  <c r="I502" i="2"/>
  <c r="I503" i="2"/>
  <c r="I504" i="2"/>
  <c r="I505" i="2"/>
  <c r="I506" i="2"/>
  <c r="I507" i="2"/>
  <c r="I508" i="2"/>
  <c r="I509" i="2"/>
  <c r="I510" i="2"/>
  <c r="I511" i="2"/>
  <c r="I512" i="2"/>
  <c r="I513" i="2"/>
  <c r="I514" i="2"/>
  <c r="I515" i="2"/>
  <c r="I516" i="2"/>
  <c r="I517" i="2"/>
  <c r="I518" i="2"/>
  <c r="I519" i="2"/>
  <c r="I520" i="2"/>
  <c r="I521" i="2"/>
  <c r="I522" i="2"/>
  <c r="I523" i="2"/>
  <c r="I524" i="2"/>
  <c r="I525" i="2"/>
  <c r="I526" i="2"/>
  <c r="I527" i="2"/>
  <c r="I528" i="2"/>
  <c r="I529" i="2"/>
  <c r="I530" i="2"/>
  <c r="I531" i="2"/>
  <c r="I532" i="2"/>
  <c r="I533" i="2"/>
  <c r="I534" i="2"/>
  <c r="I535" i="2"/>
  <c r="I536" i="2"/>
  <c r="I537" i="2"/>
  <c r="I538" i="2"/>
  <c r="I539" i="2"/>
  <c r="I540" i="2"/>
  <c r="I541" i="2"/>
  <c r="I542" i="2"/>
  <c r="I543" i="2"/>
  <c r="I544" i="2"/>
  <c r="I545" i="2"/>
  <c r="I546" i="2"/>
  <c r="I547" i="2"/>
  <c r="I548" i="2"/>
  <c r="I549" i="2"/>
  <c r="I550" i="2"/>
  <c r="I551" i="2"/>
  <c r="I552" i="2"/>
  <c r="I553" i="2"/>
  <c r="I554" i="2"/>
  <c r="I555" i="2"/>
  <c r="I556" i="2"/>
  <c r="I557" i="2"/>
  <c r="I558" i="2"/>
  <c r="I560" i="2"/>
  <c r="I561" i="2"/>
  <c r="I562" i="2"/>
  <c r="I563" i="2"/>
  <c r="I564" i="2"/>
  <c r="I565" i="2"/>
  <c r="I566" i="2"/>
  <c r="I567" i="2"/>
  <c r="I568" i="2"/>
  <c r="I569" i="2"/>
  <c r="I570" i="2"/>
  <c r="I572" i="2"/>
  <c r="I573" i="2"/>
  <c r="I574" i="2"/>
  <c r="I575" i="2"/>
  <c r="I576" i="2"/>
  <c r="I577" i="2"/>
  <c r="I578" i="2"/>
  <c r="I579" i="2"/>
  <c r="I580" i="2"/>
  <c r="I581" i="2"/>
  <c r="I582" i="2"/>
  <c r="I583" i="2"/>
  <c r="I584" i="2"/>
  <c r="I585" i="2"/>
  <c r="I586" i="2"/>
  <c r="I587" i="2"/>
  <c r="I588" i="2"/>
  <c r="I589" i="2"/>
  <c r="I591" i="2"/>
  <c r="I592" i="2"/>
  <c r="I593" i="2"/>
  <c r="I594" i="2"/>
  <c r="I595" i="2"/>
  <c r="I596" i="2"/>
  <c r="I597" i="2"/>
  <c r="I598" i="2"/>
  <c r="I599" i="2"/>
  <c r="I600" i="2"/>
  <c r="I601" i="2"/>
  <c r="I602" i="2"/>
  <c r="I603" i="2"/>
  <c r="I604" i="2"/>
  <c r="I605" i="2"/>
  <c r="I606" i="2"/>
  <c r="I607" i="2"/>
  <c r="I608" i="2"/>
  <c r="I609" i="2"/>
  <c r="I610" i="2"/>
  <c r="I611" i="2"/>
  <c r="I612" i="2"/>
  <c r="I614" i="2"/>
  <c r="I615" i="2"/>
  <c r="I616" i="2"/>
  <c r="I617" i="2"/>
  <c r="I618" i="2"/>
  <c r="I619" i="2"/>
  <c r="I620" i="2"/>
  <c r="I621" i="2"/>
  <c r="I622" i="2"/>
  <c r="I623" i="2"/>
  <c r="I624" i="2"/>
  <c r="I625" i="2"/>
  <c r="I626" i="2"/>
  <c r="I627" i="2"/>
  <c r="I628" i="2"/>
  <c r="I629" i="2"/>
  <c r="I630" i="2"/>
  <c r="I631" i="2"/>
  <c r="I632" i="2"/>
  <c r="I633" i="2"/>
  <c r="I634" i="2"/>
  <c r="I635" i="2"/>
  <c r="I636" i="2"/>
  <c r="I637" i="2"/>
  <c r="I638" i="2"/>
  <c r="I639" i="2"/>
  <c r="I640" i="2"/>
  <c r="I641" i="2"/>
  <c r="I642" i="2"/>
  <c r="I643" i="2"/>
  <c r="I644" i="2"/>
  <c r="I645" i="2"/>
  <c r="I646" i="2"/>
  <c r="I647" i="2"/>
  <c r="I648" i="2"/>
  <c r="I649" i="2"/>
  <c r="I650" i="2"/>
  <c r="I651" i="2"/>
  <c r="I652" i="2"/>
  <c r="I653" i="2"/>
  <c r="I654" i="2"/>
  <c r="I655" i="2"/>
  <c r="I656" i="2"/>
  <c r="I657" i="2"/>
  <c r="I658" i="2"/>
  <c r="I659" i="2"/>
  <c r="I660" i="2"/>
  <c r="I661" i="2"/>
  <c r="I662" i="2"/>
  <c r="I663" i="2"/>
  <c r="I664" i="2"/>
  <c r="I665" i="2"/>
  <c r="I666" i="2"/>
  <c r="I667" i="2"/>
  <c r="I668" i="2"/>
  <c r="I669" i="2"/>
  <c r="I670" i="2"/>
  <c r="I671" i="2"/>
  <c r="I672" i="2"/>
  <c r="I673" i="2"/>
  <c r="I674" i="2"/>
  <c r="I675" i="2"/>
  <c r="I676" i="2"/>
  <c r="I677" i="2"/>
  <c r="I678" i="2"/>
  <c r="I680" i="2"/>
  <c r="I681" i="2"/>
  <c r="I682" i="2"/>
  <c r="I683" i="2"/>
  <c r="I684" i="2"/>
  <c r="I686" i="2"/>
  <c r="I687" i="2"/>
  <c r="I688" i="2"/>
  <c r="I689" i="2"/>
  <c r="I690" i="2"/>
  <c r="I691" i="2"/>
  <c r="I692" i="2"/>
  <c r="I695" i="2"/>
  <c r="I696" i="2"/>
  <c r="I697" i="2"/>
  <c r="I698" i="2"/>
  <c r="I699" i="2"/>
  <c r="I700" i="2"/>
  <c r="I701" i="2"/>
  <c r="I702" i="2"/>
  <c r="I703" i="2"/>
  <c r="I704" i="2"/>
  <c r="I705" i="2"/>
  <c r="I706" i="2"/>
  <c r="I707" i="2"/>
  <c r="I708" i="2"/>
  <c r="I709" i="2"/>
  <c r="I710" i="2"/>
  <c r="I711" i="2"/>
  <c r="I712" i="2"/>
  <c r="I713" i="2"/>
  <c r="I714" i="2"/>
  <c r="I715" i="2"/>
  <c r="I716" i="2"/>
  <c r="I717" i="2"/>
  <c r="I718" i="2"/>
  <c r="I719" i="2"/>
  <c r="I720" i="2"/>
  <c r="I721" i="2"/>
  <c r="I722" i="2"/>
  <c r="I723" i="2"/>
  <c r="I724" i="2"/>
  <c r="I725" i="2"/>
  <c r="I727" i="2"/>
  <c r="I728" i="2"/>
  <c r="I729" i="2"/>
  <c r="I730" i="2"/>
  <c r="I731" i="2"/>
  <c r="I732" i="2"/>
  <c r="I734" i="2"/>
  <c r="I735" i="2"/>
  <c r="I736" i="2"/>
  <c r="I737" i="2"/>
  <c r="I738" i="2"/>
  <c r="I739" i="2"/>
  <c r="I740" i="2"/>
  <c r="I741" i="2"/>
  <c r="I742" i="2"/>
  <c r="I743" i="2"/>
  <c r="I744" i="2"/>
  <c r="I745" i="2"/>
  <c r="I746" i="2"/>
  <c r="I747" i="2"/>
  <c r="I748" i="2"/>
  <c r="I749" i="2"/>
  <c r="I750" i="2"/>
  <c r="I751" i="2"/>
  <c r="I752" i="2"/>
  <c r="I753" i="2"/>
  <c r="I754" i="2"/>
  <c r="I755" i="2"/>
  <c r="I756" i="2"/>
  <c r="I757" i="2"/>
  <c r="I758" i="2"/>
  <c r="I759" i="2"/>
  <c r="I760" i="2"/>
  <c r="I761" i="2"/>
  <c r="I762" i="2"/>
  <c r="I763" i="2"/>
  <c r="I764" i="2"/>
  <c r="I765" i="2"/>
  <c r="I766" i="2"/>
  <c r="I767" i="2"/>
  <c r="I768" i="2"/>
  <c r="I769" i="2"/>
  <c r="I770" i="2"/>
  <c r="I771" i="2"/>
  <c r="I772" i="2"/>
  <c r="I773" i="2"/>
  <c r="I774" i="2"/>
  <c r="I775" i="2"/>
  <c r="I776" i="2"/>
  <c r="I777" i="2"/>
  <c r="I778" i="2"/>
  <c r="I779" i="2"/>
  <c r="I780" i="2"/>
  <c r="I781" i="2"/>
  <c r="I782" i="2"/>
  <c r="I783" i="2"/>
  <c r="I784" i="2"/>
  <c r="I785" i="2"/>
  <c r="I786" i="2"/>
  <c r="I788" i="2"/>
  <c r="I789" i="2"/>
  <c r="I790" i="2"/>
  <c r="I791" i="2"/>
  <c r="I792" i="2"/>
  <c r="I793" i="2"/>
  <c r="I794" i="2"/>
  <c r="I795" i="2"/>
  <c r="I796" i="2"/>
  <c r="I797" i="2"/>
  <c r="I798" i="2"/>
  <c r="I799" i="2"/>
  <c r="I800" i="2"/>
  <c r="I801" i="2"/>
  <c r="I802" i="2"/>
  <c r="I803" i="2"/>
  <c r="I804" i="2"/>
  <c r="I805" i="2"/>
  <c r="I806" i="2"/>
  <c r="I807" i="2"/>
  <c r="I808" i="2"/>
  <c r="I809" i="2"/>
  <c r="I810" i="2"/>
  <c r="I811" i="2"/>
  <c r="I812" i="2"/>
  <c r="I813" i="2"/>
  <c r="I814" i="2"/>
  <c r="I815" i="2"/>
  <c r="I816" i="2"/>
  <c r="I817" i="2"/>
  <c r="I818" i="2"/>
  <c r="I819" i="2"/>
  <c r="I820" i="2"/>
  <c r="I821" i="2"/>
  <c r="I822" i="2"/>
  <c r="I823" i="2"/>
  <c r="I824" i="2"/>
  <c r="I825" i="2"/>
  <c r="I826" i="2"/>
  <c r="I827" i="2"/>
  <c r="I828" i="2"/>
  <c r="I829" i="2"/>
  <c r="I830" i="2"/>
  <c r="I831" i="2"/>
  <c r="I832" i="2"/>
  <c r="I833" i="2"/>
  <c r="I834" i="2"/>
  <c r="I835" i="2"/>
  <c r="I836" i="2"/>
  <c r="I837" i="2"/>
  <c r="I838" i="2"/>
  <c r="I839" i="2"/>
  <c r="I840" i="2"/>
  <c r="I841" i="2"/>
  <c r="I842" i="2"/>
  <c r="I843" i="2"/>
  <c r="I844" i="2"/>
  <c r="I845" i="2"/>
  <c r="I846" i="2"/>
  <c r="I847" i="2"/>
  <c r="I848" i="2"/>
  <c r="I849" i="2"/>
  <c r="I850" i="2"/>
  <c r="I851" i="2"/>
  <c r="I852" i="2"/>
  <c r="I853" i="2"/>
  <c r="I854" i="2"/>
  <c r="I855" i="2"/>
  <c r="I856" i="2"/>
  <c r="I857" i="2"/>
  <c r="I858" i="2"/>
  <c r="I859" i="2"/>
  <c r="I860" i="2"/>
  <c r="I861" i="2"/>
  <c r="I862" i="2"/>
  <c r="I863" i="2"/>
  <c r="I864" i="2"/>
  <c r="I865" i="2"/>
  <c r="I866" i="2"/>
  <c r="I867" i="2"/>
  <c r="I868" i="2"/>
  <c r="I869" i="2"/>
  <c r="I870" i="2"/>
  <c r="I871" i="2"/>
  <c r="I872" i="2"/>
  <c r="I873" i="2"/>
  <c r="I874" i="2"/>
  <c r="I875" i="2"/>
  <c r="I876" i="2"/>
  <c r="I877" i="2"/>
  <c r="I878" i="2"/>
  <c r="I879" i="2"/>
  <c r="I880" i="2"/>
  <c r="I881" i="2"/>
  <c r="I882" i="2"/>
  <c r="I883" i="2"/>
  <c r="I884" i="2"/>
  <c r="I885" i="2"/>
  <c r="I886" i="2"/>
  <c r="I887" i="2"/>
  <c r="I888" i="2"/>
  <c r="I889" i="2"/>
  <c r="I890" i="2"/>
  <c r="I892" i="2"/>
  <c r="I893" i="2"/>
  <c r="I894" i="2"/>
  <c r="I895" i="2"/>
  <c r="I896" i="2"/>
  <c r="I897" i="2"/>
  <c r="I898" i="2"/>
  <c r="I899" i="2"/>
  <c r="I900" i="2"/>
  <c r="I901" i="2"/>
  <c r="I902" i="2"/>
  <c r="I903" i="2"/>
  <c r="I904" i="2"/>
  <c r="I905" i="2"/>
  <c r="I906" i="2"/>
  <c r="I907" i="2"/>
  <c r="I908" i="2"/>
  <c r="I909" i="2"/>
  <c r="I910" i="2"/>
  <c r="I911" i="2"/>
  <c r="I912" i="2"/>
  <c r="I913" i="2"/>
  <c r="I914" i="2"/>
  <c r="I915" i="2"/>
  <c r="I916" i="2"/>
  <c r="I917" i="2"/>
  <c r="I918" i="2"/>
  <c r="I919" i="2"/>
  <c r="I921" i="2"/>
  <c r="I922" i="2"/>
  <c r="I923" i="2"/>
  <c r="I924" i="2"/>
  <c r="I925" i="2"/>
  <c r="I926" i="2"/>
  <c r="I927" i="2"/>
  <c r="I928" i="2"/>
  <c r="I929" i="2"/>
  <c r="I931" i="2"/>
  <c r="I932" i="2"/>
  <c r="I933" i="2"/>
  <c r="I934" i="2"/>
  <c r="I935" i="2"/>
  <c r="I936" i="2"/>
  <c r="I937" i="2"/>
  <c r="I938" i="2"/>
  <c r="I939" i="2"/>
  <c r="I940" i="2"/>
  <c r="I941" i="2"/>
  <c r="I942" i="2"/>
  <c r="I943" i="2"/>
  <c r="I945" i="2"/>
  <c r="I946" i="2"/>
  <c r="I947" i="2"/>
  <c r="I948" i="2"/>
  <c r="I949" i="2"/>
  <c r="I950" i="2"/>
  <c r="I952" i="2"/>
  <c r="I953" i="2"/>
  <c r="I954" i="2"/>
  <c r="I955" i="2"/>
  <c r="I956" i="2"/>
  <c r="I957" i="2"/>
  <c r="I959" i="2"/>
  <c r="I960" i="2"/>
  <c r="I961" i="2"/>
  <c r="I962" i="2"/>
  <c r="I963" i="2"/>
  <c r="I964" i="2"/>
  <c r="I965" i="2"/>
  <c r="I966" i="2"/>
  <c r="I967" i="2"/>
  <c r="I968" i="2"/>
  <c r="I969" i="2"/>
  <c r="I970" i="2"/>
  <c r="I971" i="2"/>
  <c r="I972" i="2"/>
  <c r="I973" i="2"/>
  <c r="I974" i="2"/>
  <c r="I975" i="2"/>
  <c r="I978" i="2"/>
  <c r="I980" i="2"/>
  <c r="I981" i="2"/>
  <c r="I982" i="2"/>
  <c r="I983" i="2"/>
  <c r="I984" i="2"/>
  <c r="I985" i="2"/>
  <c r="I986" i="2"/>
  <c r="I987" i="2"/>
  <c r="I988" i="2"/>
  <c r="I989" i="2"/>
  <c r="I990" i="2"/>
  <c r="I991" i="2"/>
  <c r="I992" i="2"/>
  <c r="I993" i="2"/>
  <c r="I994" i="2"/>
  <c r="I995" i="2"/>
  <c r="I996" i="2"/>
  <c r="I997" i="2"/>
  <c r="I998" i="2"/>
  <c r="I999" i="2"/>
  <c r="I1000" i="2"/>
  <c r="I1001" i="2"/>
  <c r="I1002" i="2"/>
  <c r="I1003" i="2"/>
  <c r="I1004" i="2"/>
  <c r="I1005" i="2"/>
  <c r="I1006" i="2"/>
  <c r="I1008" i="2"/>
  <c r="I1009" i="2"/>
  <c r="I1010" i="2"/>
  <c r="I1011" i="2"/>
  <c r="I1012" i="2"/>
  <c r="I1013" i="2"/>
  <c r="I1014" i="2"/>
  <c r="I1015" i="2"/>
  <c r="I1016" i="2"/>
  <c r="I1017" i="2"/>
  <c r="I1018" i="2"/>
  <c r="I1019" i="2"/>
  <c r="I1020" i="2"/>
  <c r="I1021" i="2"/>
  <c r="I1022" i="2"/>
  <c r="I1023" i="2"/>
  <c r="I1024" i="2"/>
  <c r="I1025" i="2"/>
  <c r="I1026" i="2"/>
  <c r="I1027" i="2"/>
  <c r="I1028" i="2"/>
  <c r="I1029" i="2"/>
  <c r="I1030" i="2"/>
  <c r="I1031" i="2"/>
  <c r="I1032" i="2"/>
  <c r="I1033" i="2"/>
  <c r="I1034" i="2"/>
  <c r="I1035" i="2"/>
  <c r="I1036" i="2"/>
  <c r="I1037" i="2"/>
  <c r="I1038" i="2"/>
  <c r="I1039" i="2"/>
  <c r="I1040" i="2"/>
  <c r="I1041" i="2"/>
  <c r="I1042" i="2"/>
  <c r="I1043" i="2"/>
  <c r="I1044" i="2"/>
  <c r="I1045" i="2"/>
  <c r="I1046" i="2"/>
  <c r="I1047" i="2"/>
  <c r="I1048" i="2"/>
  <c r="I1049" i="2"/>
  <c r="I1050" i="2"/>
  <c r="I1051" i="2"/>
  <c r="I1052" i="2"/>
  <c r="I1053" i="2"/>
  <c r="I1054" i="2"/>
  <c r="I1055" i="2"/>
  <c r="I1056" i="2"/>
  <c r="I1057" i="2"/>
  <c r="I1058" i="2"/>
  <c r="I1059" i="2"/>
  <c r="I1060" i="2"/>
  <c r="I1061" i="2"/>
  <c r="I1062" i="2"/>
  <c r="I1063" i="2"/>
  <c r="I1064" i="2"/>
  <c r="I1065" i="2"/>
  <c r="I1066" i="2"/>
  <c r="I1067" i="2"/>
  <c r="I1068" i="2"/>
  <c r="I1069" i="2"/>
  <c r="I1070" i="2"/>
  <c r="I1071" i="2"/>
  <c r="I1072" i="2"/>
  <c r="I1073" i="2"/>
  <c r="I1074" i="2"/>
  <c r="I1075" i="2"/>
  <c r="I1076" i="2"/>
  <c r="I1077" i="2"/>
  <c r="I1078" i="2"/>
  <c r="I1079" i="2"/>
  <c r="I1080" i="2"/>
  <c r="I1081" i="2"/>
  <c r="I1082" i="2"/>
  <c r="I1083" i="2"/>
  <c r="I1085" i="2"/>
  <c r="I1087" i="2"/>
  <c r="I1088" i="2"/>
  <c r="I1089" i="2"/>
  <c r="I1090" i="2"/>
  <c r="I1091" i="2"/>
  <c r="I1092" i="2"/>
  <c r="I1093" i="2"/>
  <c r="I1094" i="2"/>
  <c r="I1095" i="2"/>
  <c r="I1096" i="2"/>
  <c r="R34" i="3"/>
  <c r="AB34" i="3" s="1"/>
  <c r="Y34" i="3" s="1"/>
  <c r="R36" i="3"/>
  <c r="AB36" i="3" s="1"/>
  <c r="R37" i="3"/>
  <c r="AB37" i="3" s="1"/>
  <c r="Y37" i="3" s="1"/>
  <c r="R38" i="3"/>
  <c r="AB38" i="3" s="1"/>
  <c r="Y38" i="3" s="1"/>
  <c r="R39" i="3"/>
  <c r="AB39" i="3" s="1"/>
  <c r="Y39" i="3" s="1"/>
  <c r="R40" i="3"/>
  <c r="AB40" i="3" s="1"/>
  <c r="Y40" i="3" s="1"/>
  <c r="R41" i="3"/>
  <c r="AB41" i="3" s="1"/>
  <c r="R42" i="3"/>
  <c r="AB42" i="3" s="1"/>
  <c r="Y42" i="3" s="1"/>
  <c r="R43" i="3"/>
  <c r="AB43" i="3" s="1"/>
  <c r="Y43" i="3" s="1"/>
  <c r="R44" i="3"/>
  <c r="AB44" i="3" s="1"/>
  <c r="Z44" i="3" s="1"/>
  <c r="R45" i="3"/>
  <c r="AB45" i="3" s="1"/>
  <c r="Z45" i="3" s="1"/>
  <c r="R46" i="3"/>
  <c r="AB46" i="3" s="1"/>
  <c r="R47" i="3"/>
  <c r="AB47" i="3" s="1"/>
  <c r="Y47" i="3" s="1"/>
  <c r="R48" i="3"/>
  <c r="AB48" i="3" s="1"/>
  <c r="Y48" i="3" s="1"/>
  <c r="R49" i="3"/>
  <c r="AB49" i="3" s="1"/>
  <c r="Z49" i="3" s="1"/>
  <c r="R50" i="3"/>
  <c r="AB50" i="3" s="1"/>
  <c r="Z50" i="3" s="1"/>
  <c r="R51" i="3"/>
  <c r="AB51" i="3" s="1"/>
  <c r="Y51" i="3" s="1"/>
  <c r="R52" i="3"/>
  <c r="AB52" i="3" s="1"/>
  <c r="Y52" i="3" s="1"/>
  <c r="R53" i="3"/>
  <c r="AB53" i="3" s="1"/>
  <c r="Y53" i="3" s="1"/>
  <c r="R54" i="3"/>
  <c r="AB54" i="3" s="1"/>
  <c r="Y54" i="3" s="1"/>
  <c r="R55" i="3"/>
  <c r="AB55" i="3" s="1"/>
  <c r="Y55" i="3" s="1"/>
  <c r="R56" i="3"/>
  <c r="AB56" i="3" s="1"/>
  <c r="R57" i="3"/>
  <c r="AB57" i="3" s="1"/>
  <c r="Y57" i="3" s="1"/>
  <c r="R58" i="3"/>
  <c r="AB58" i="3" s="1"/>
  <c r="Y58" i="3" s="1"/>
  <c r="Q36" i="3"/>
  <c r="X36" i="3" s="1"/>
  <c r="U36" i="3" s="1"/>
  <c r="Q37" i="3"/>
  <c r="X37" i="3" s="1"/>
  <c r="U37" i="3" s="1"/>
  <c r="Q38" i="3"/>
  <c r="X38" i="3" s="1"/>
  <c r="U38" i="3" s="1"/>
  <c r="Q39" i="3"/>
  <c r="X39" i="3" s="1"/>
  <c r="U39" i="3" s="1"/>
  <c r="Q40" i="3"/>
  <c r="X40" i="3" s="1"/>
  <c r="Q41" i="3"/>
  <c r="X41" i="3" s="1"/>
  <c r="U41" i="3" s="1"/>
  <c r="Q42" i="3"/>
  <c r="X42" i="3" s="1"/>
  <c r="U42" i="3" s="1"/>
  <c r="Q43" i="3"/>
  <c r="X43" i="3" s="1"/>
  <c r="U43" i="3" s="1"/>
  <c r="Q44" i="3"/>
  <c r="X44" i="3" s="1"/>
  <c r="U44" i="3" s="1"/>
  <c r="Q45" i="3"/>
  <c r="X45" i="3" s="1"/>
  <c r="Q46" i="3"/>
  <c r="X46" i="3" s="1"/>
  <c r="U46" i="3" s="1"/>
  <c r="Q47" i="3"/>
  <c r="X47" i="3" s="1"/>
  <c r="U47" i="3" s="1"/>
  <c r="Q48" i="3"/>
  <c r="X48" i="3" s="1"/>
  <c r="U48" i="3" s="1"/>
  <c r="Q49" i="3"/>
  <c r="X49" i="3" s="1"/>
  <c r="U49" i="3" s="1"/>
  <c r="Q50" i="3"/>
  <c r="X50" i="3" s="1"/>
  <c r="U50" i="3" s="1"/>
  <c r="Q51" i="3"/>
  <c r="X51" i="3" s="1"/>
  <c r="U51" i="3" s="1"/>
  <c r="Q52" i="3"/>
  <c r="X52" i="3" s="1"/>
  <c r="U52" i="3" s="1"/>
  <c r="Q53" i="3"/>
  <c r="X53" i="3" s="1"/>
  <c r="U53" i="3" s="1"/>
  <c r="Q54" i="3"/>
  <c r="X54" i="3" s="1"/>
  <c r="U54" i="3" s="1"/>
  <c r="Q55" i="3"/>
  <c r="X55" i="3" s="1"/>
  <c r="Q56" i="3"/>
  <c r="X56" i="3" s="1"/>
  <c r="U56" i="3" s="1"/>
  <c r="Q57" i="3"/>
  <c r="X57" i="3" s="1"/>
  <c r="U57" i="3" s="1"/>
  <c r="Q58" i="3"/>
  <c r="X58" i="3" s="1"/>
  <c r="U58" i="3" s="1"/>
  <c r="AA32" i="3"/>
  <c r="G2" i="2"/>
  <c r="H2" i="2" l="1"/>
  <c r="I2" i="2"/>
  <c r="Y46" i="3"/>
  <c r="Z46" i="3"/>
  <c r="Y41" i="3"/>
  <c r="Z41" i="3"/>
  <c r="Y36" i="3"/>
  <c r="Z36" i="3"/>
  <c r="Y56" i="3"/>
  <c r="Z56" i="3"/>
  <c r="Z51" i="3"/>
  <c r="Z39" i="3"/>
  <c r="Y44" i="3"/>
  <c r="Z58" i="3"/>
  <c r="Z53" i="3"/>
  <c r="Z48" i="3"/>
  <c r="Z43" i="3"/>
  <c r="Z38" i="3"/>
  <c r="Y50" i="3"/>
  <c r="Z34" i="3"/>
  <c r="Z55" i="3"/>
  <c r="Z40" i="3"/>
  <c r="Y45" i="3"/>
  <c r="Z54" i="3"/>
  <c r="Y49" i="3"/>
  <c r="Z57" i="3"/>
  <c r="Z52" i="3"/>
  <c r="Z47" i="3"/>
  <c r="Z42" i="3"/>
  <c r="Z37" i="3"/>
  <c r="V45" i="3"/>
  <c r="U45" i="3"/>
  <c r="U40" i="3"/>
  <c r="V40" i="3"/>
  <c r="U55" i="3"/>
  <c r="V55" i="3"/>
  <c r="V50" i="3"/>
  <c r="V56" i="3"/>
  <c r="V51" i="3"/>
  <c r="V46" i="3"/>
  <c r="V41" i="3"/>
  <c r="V36" i="3"/>
  <c r="V58" i="3"/>
  <c r="V53" i="3"/>
  <c r="V48" i="3"/>
  <c r="V43" i="3"/>
  <c r="V38" i="3"/>
  <c r="V57" i="3"/>
  <c r="V52" i="3"/>
  <c r="V47" i="3"/>
  <c r="V42" i="3"/>
  <c r="V37" i="3"/>
  <c r="V54" i="3"/>
  <c r="V49" i="3"/>
  <c r="V44" i="3"/>
  <c r="V39" i="3"/>
  <c r="AF50" i="6" l="1"/>
  <c r="AF56" i="6"/>
  <c r="AF60" i="6"/>
  <c r="AF57" i="6"/>
  <c r="AF43" i="6"/>
  <c r="AF42" i="6"/>
  <c r="AF40" i="6"/>
  <c r="AF52" i="6"/>
  <c r="AF53" i="6"/>
  <c r="AF45" i="6"/>
  <c r="AF51" i="6"/>
  <c r="AF39" i="6"/>
  <c r="AF63" i="6"/>
  <c r="AF61" i="6"/>
  <c r="AF49" i="6"/>
  <c r="AF55" i="6"/>
  <c r="AF38" i="6"/>
  <c r="AF54" i="6"/>
  <c r="AF62" i="6"/>
  <c r="AF58" i="6"/>
  <c r="AF41" i="6"/>
  <c r="AF48" i="6"/>
  <c r="AF59" i="6"/>
  <c r="AF46" i="6"/>
  <c r="AF44" i="6"/>
  <c r="AF47" i="6"/>
  <c r="AA40" i="6"/>
  <c r="W55" i="6"/>
  <c r="AA55" i="6"/>
  <c r="AA51" i="6"/>
  <c r="AA59" i="6"/>
  <c r="W63" i="6"/>
  <c r="AA38" i="6"/>
  <c r="W42" i="6"/>
  <c r="W44" i="6"/>
  <c r="W43" i="6"/>
  <c r="AA50" i="6"/>
  <c r="W60" i="6"/>
  <c r="W50" i="6"/>
  <c r="AA45" i="6"/>
  <c r="AA44" i="6"/>
  <c r="AA52" i="6"/>
  <c r="W41" i="6"/>
  <c r="W49" i="6"/>
  <c r="W51" i="6"/>
  <c r="AA48" i="6"/>
  <c r="AA47" i="6"/>
  <c r="AA61" i="6"/>
  <c r="W57" i="6"/>
  <c r="W54" i="6"/>
  <c r="W38" i="6"/>
  <c r="W39" i="6"/>
  <c r="W46" i="6"/>
  <c r="AA57" i="6"/>
  <c r="AA46" i="6"/>
  <c r="AA54" i="6"/>
  <c r="AA60" i="6"/>
  <c r="W59" i="6"/>
  <c r="W58" i="6"/>
  <c r="AA62" i="6"/>
  <c r="W53" i="6"/>
  <c r="W62" i="6"/>
  <c r="AA56" i="6"/>
  <c r="AA41" i="6"/>
  <c r="W45" i="6"/>
  <c r="AA58" i="6"/>
  <c r="AA63" i="6"/>
  <c r="W61" i="6"/>
  <c r="W52" i="6"/>
  <c r="AA53" i="6"/>
  <c r="W40" i="6"/>
  <c r="AA39" i="6"/>
  <c r="AA42" i="6"/>
  <c r="AA49" i="6"/>
  <c r="W47" i="6"/>
  <c r="W56" i="6"/>
  <c r="W48" i="6"/>
  <c r="AA43" i="6"/>
  <c r="AF34" i="5"/>
  <c r="AF58" i="5"/>
  <c r="AF57" i="5"/>
  <c r="AF40" i="5"/>
  <c r="AF48" i="5"/>
  <c r="AF37" i="5"/>
  <c r="AF52" i="5"/>
  <c r="AF49" i="5"/>
  <c r="AF46" i="5"/>
  <c r="AF42" i="5"/>
  <c r="AF43" i="5"/>
  <c r="AF41" i="5"/>
  <c r="AF55" i="5"/>
  <c r="AF38" i="5"/>
  <c r="AF50" i="5"/>
  <c r="AF51" i="5"/>
  <c r="AF53" i="5"/>
  <c r="AF35" i="5"/>
  <c r="AF56" i="5"/>
  <c r="AF54" i="5"/>
  <c r="AF47" i="5"/>
  <c r="AF44" i="5"/>
  <c r="AF39" i="5"/>
  <c r="AF36" i="5"/>
  <c r="AF45" i="5"/>
  <c r="AF33" i="5"/>
  <c r="AA51" i="5"/>
  <c r="W48" i="5"/>
  <c r="AA46" i="5"/>
  <c r="W40" i="5"/>
  <c r="AA38" i="5"/>
  <c r="AA55" i="5"/>
  <c r="W51" i="5"/>
  <c r="AA49" i="5"/>
  <c r="W43" i="5"/>
  <c r="W35" i="5"/>
  <c r="W46" i="5"/>
  <c r="AA44" i="5"/>
  <c r="W38" i="5"/>
  <c r="AA36" i="5"/>
  <c r="W49" i="5"/>
  <c r="AA47" i="5"/>
  <c r="AA39" i="5"/>
  <c r="AA58" i="5"/>
  <c r="W57" i="5"/>
  <c r="W54" i="5"/>
  <c r="AA41" i="5"/>
  <c r="AA33" i="5"/>
  <c r="W41" i="5"/>
  <c r="AA52" i="5"/>
  <c r="W58" i="5"/>
  <c r="W55" i="5"/>
  <c r="AA56" i="5"/>
  <c r="W52" i="5"/>
  <c r="AA35" i="5"/>
  <c r="AA53" i="5"/>
  <c r="AA50" i="5"/>
  <c r="W44" i="5"/>
  <c r="AA42" i="5"/>
  <c r="W36" i="5"/>
  <c r="AA34" i="5"/>
  <c r="W47" i="5"/>
  <c r="AA45" i="5"/>
  <c r="W39" i="5"/>
  <c r="AA37" i="5"/>
  <c r="W56" i="5"/>
  <c r="W53" i="5"/>
  <c r="W50" i="5"/>
  <c r="AA48" i="5"/>
  <c r="W42" i="5"/>
  <c r="AA40" i="5"/>
  <c r="W34" i="5"/>
  <c r="AA57" i="5"/>
  <c r="AA54" i="5"/>
  <c r="W45" i="5"/>
  <c r="AA43" i="5"/>
  <c r="W37" i="5"/>
  <c r="W33" i="5"/>
  <c r="R35" i="3"/>
  <c r="AB35" i="3" s="1"/>
  <c r="Y35" i="3" s="1"/>
  <c r="R33" i="3"/>
  <c r="AB33" i="3" s="1"/>
  <c r="Q34" i="3"/>
  <c r="X34" i="3" s="1"/>
  <c r="U34" i="3" s="1"/>
  <c r="Q35" i="3"/>
  <c r="X35" i="3" s="1"/>
  <c r="Q33" i="3"/>
  <c r="Z35" i="3" l="1"/>
  <c r="Z33" i="3"/>
  <c r="Y33" i="3"/>
  <c r="V34" i="3"/>
  <c r="U35" i="3"/>
  <c r="V35" i="3"/>
  <c r="E23" i="5" l="1"/>
  <c r="E22" i="5"/>
  <c r="B11" i="5"/>
  <c r="S33" i="3"/>
  <c r="AC31" i="3" l="1"/>
  <c r="X32" i="3"/>
  <c r="AB32" i="3" s="1"/>
  <c r="V32" i="3"/>
  <c r="Z32" i="3" s="1"/>
  <c r="U32" i="3"/>
  <c r="Y32" i="3" s="1"/>
  <c r="T58" i="3"/>
  <c r="S58" i="3"/>
  <c r="AC58" i="3" s="1"/>
  <c r="T57" i="3"/>
  <c r="S57" i="3"/>
  <c r="AC57" i="3" s="1"/>
  <c r="T56" i="3"/>
  <c r="S56" i="3"/>
  <c r="AC56" i="3" s="1"/>
  <c r="T55" i="3"/>
  <c r="S55" i="3"/>
  <c r="AC55" i="3" s="1"/>
  <c r="T54" i="3"/>
  <c r="S54" i="3"/>
  <c r="AC54" i="3" s="1"/>
  <c r="T53" i="3"/>
  <c r="S53" i="3"/>
  <c r="AC53" i="3" s="1"/>
  <c r="T52" i="3"/>
  <c r="S52" i="3"/>
  <c r="AC52" i="3" s="1"/>
  <c r="T51" i="3"/>
  <c r="S51" i="3"/>
  <c r="AC51" i="3" s="1"/>
  <c r="T50" i="3"/>
  <c r="S50" i="3"/>
  <c r="AC50" i="3" s="1"/>
  <c r="T49" i="3"/>
  <c r="S49" i="3"/>
  <c r="AC49" i="3" s="1"/>
  <c r="T48" i="3"/>
  <c r="S48" i="3"/>
  <c r="AC48" i="3" s="1"/>
  <c r="T47" i="3"/>
  <c r="S47" i="3"/>
  <c r="AC47" i="3" s="1"/>
  <c r="T46" i="3"/>
  <c r="S46" i="3"/>
  <c r="AC46" i="3" s="1"/>
  <c r="T45" i="3"/>
  <c r="S45" i="3"/>
  <c r="AC45" i="3" s="1"/>
  <c r="T44" i="3"/>
  <c r="S44" i="3"/>
  <c r="AC44" i="3" s="1"/>
  <c r="T43" i="3"/>
  <c r="S43" i="3"/>
  <c r="AC43" i="3" s="1"/>
  <c r="T42" i="3"/>
  <c r="S42" i="3"/>
  <c r="AC42" i="3" s="1"/>
  <c r="T41" i="3"/>
  <c r="S41" i="3"/>
  <c r="AC41" i="3" s="1"/>
  <c r="T40" i="3"/>
  <c r="S40" i="3"/>
  <c r="AC40" i="3" s="1"/>
  <c r="T39" i="3"/>
  <c r="S39" i="3"/>
  <c r="AC39" i="3" s="1"/>
  <c r="T38" i="3"/>
  <c r="S38" i="3"/>
  <c r="AC38" i="3" s="1"/>
  <c r="T37" i="3"/>
  <c r="S37" i="3"/>
  <c r="AC37" i="3" s="1"/>
  <c r="T36" i="3"/>
  <c r="S36" i="3"/>
  <c r="AC36" i="3" s="1"/>
  <c r="T35" i="3"/>
  <c r="S35" i="3"/>
  <c r="AC35" i="3" s="1"/>
  <c r="T34" i="3"/>
  <c r="S34" i="3"/>
  <c r="AC34" i="3" s="1"/>
  <c r="T33" i="3"/>
  <c r="AC33" i="3"/>
  <c r="AD32" i="3"/>
  <c r="AC32" i="3"/>
  <c r="T32" i="3"/>
  <c r="S32" i="3"/>
  <c r="G32" i="3"/>
  <c r="F32" i="3"/>
  <c r="C26" i="3"/>
  <c r="C24" i="3"/>
  <c r="AD43" i="3" l="1"/>
  <c r="AD54" i="3"/>
  <c r="AD52" i="3"/>
  <c r="AD35" i="3"/>
  <c r="AD55" i="3"/>
  <c r="AD53" i="3"/>
  <c r="AD46" i="3"/>
  <c r="AD56" i="3"/>
  <c r="AD51" i="3"/>
  <c r="AD36" i="3"/>
  <c r="AD45" i="3"/>
  <c r="AD58" i="3"/>
  <c r="AD34" i="3"/>
  <c r="AD47" i="3"/>
  <c r="AE33" i="3"/>
  <c r="AD39" i="3"/>
  <c r="AD49" i="3"/>
  <c r="AD42" i="3"/>
  <c r="AD44" i="3"/>
  <c r="AD57" i="3"/>
  <c r="AD38" i="3"/>
  <c r="AD41" i="3"/>
  <c r="AD37" i="3"/>
  <c r="AD48" i="3"/>
  <c r="AD40" i="3"/>
  <c r="AD50" i="3"/>
  <c r="AE47" i="3"/>
  <c r="AE57" i="3"/>
  <c r="AE48" i="3"/>
  <c r="AE36" i="3"/>
  <c r="AE55" i="3"/>
  <c r="AE43" i="3"/>
  <c r="AE54" i="3"/>
  <c r="AE42" i="3"/>
  <c r="AE53" i="3"/>
  <c r="AE41" i="3"/>
  <c r="AE52" i="3"/>
  <c r="AE40" i="3"/>
  <c r="AE51" i="3"/>
  <c r="AE39" i="3"/>
  <c r="AE50" i="3"/>
  <c r="AE38" i="3"/>
  <c r="AE45" i="3"/>
  <c r="AE49" i="3"/>
  <c r="AE37" i="3"/>
  <c r="AD33" i="3"/>
  <c r="AE35" i="3"/>
  <c r="AE58" i="3"/>
  <c r="AE46" i="3"/>
  <c r="AE34" i="3"/>
  <c r="AE56" i="3"/>
  <c r="AE44" i="3"/>
  <c r="X33" i="3" l="1"/>
  <c r="U33" i="3" s="1"/>
  <c r="V33" i="3" l="1"/>
  <c r="H5" i="2" l="1"/>
  <c r="H13" i="2"/>
  <c r="H21" i="2"/>
  <c r="H29" i="2"/>
  <c r="H37" i="2"/>
  <c r="H9" i="2"/>
  <c r="H26" i="2"/>
  <c r="H27" i="2"/>
  <c r="H20" i="2"/>
  <c r="H6" i="2"/>
  <c r="H14" i="2"/>
  <c r="H22" i="2"/>
  <c r="H30" i="2"/>
  <c r="H38" i="2"/>
  <c r="H25" i="2"/>
  <c r="H36" i="2"/>
  <c r="H7" i="2"/>
  <c r="H15" i="2"/>
  <c r="H23" i="2"/>
  <c r="H31" i="2"/>
  <c r="H39" i="2"/>
  <c r="H33" i="2"/>
  <c r="H41" i="2"/>
  <c r="H10" i="2"/>
  <c r="H42" i="2"/>
  <c r="H4" i="2"/>
  <c r="H35" i="2"/>
  <c r="H28" i="2"/>
  <c r="H8" i="2"/>
  <c r="H16" i="2"/>
  <c r="H24" i="2"/>
  <c r="H32" i="2"/>
  <c r="H40" i="2"/>
  <c r="H17" i="2"/>
  <c r="H18" i="2"/>
  <c r="H34" i="2"/>
  <c r="H19" i="2"/>
  <c r="H43" i="2"/>
  <c r="H12" i="2"/>
  <c r="H11" i="2"/>
  <c r="AF34" i="3"/>
  <c r="AF42" i="3"/>
  <c r="AF50" i="3"/>
  <c r="AF58" i="3"/>
  <c r="AF35" i="3"/>
  <c r="AF43" i="3"/>
  <c r="AF51" i="3"/>
  <c r="AF33" i="3"/>
  <c r="AF57" i="3"/>
  <c r="AF36" i="3"/>
  <c r="AF44" i="3"/>
  <c r="AF52" i="3"/>
  <c r="AF55" i="3"/>
  <c r="AF41" i="3"/>
  <c r="AF37" i="3"/>
  <c r="AF45" i="3"/>
  <c r="AF53" i="3"/>
  <c r="AF48" i="3"/>
  <c r="AF38" i="3"/>
  <c r="AF46" i="3"/>
  <c r="AF54" i="3"/>
  <c r="AF47" i="3"/>
  <c r="AF49" i="3"/>
  <c r="AF39" i="3"/>
  <c r="AF40" i="3"/>
  <c r="AF56" i="3"/>
  <c r="CA4" i="2" a="1"/>
  <c r="CA4" i="2" s="1"/>
  <c r="BZ4" i="2" a="1"/>
  <c r="BZ4" i="2" s="1"/>
  <c r="BY4" i="2" a="1"/>
  <c r="BY4" i="2" s="1"/>
  <c r="BX4" i="2" a="1"/>
  <c r="BX4" i="2" s="1"/>
  <c r="BW4" i="2" a="1"/>
  <c r="BW4" i="2" s="1"/>
  <c r="BV4" i="2" a="1"/>
  <c r="BV4" i="2" s="1"/>
  <c r="BT4" i="2" a="1"/>
  <c r="BT4" i="2" s="1"/>
  <c r="BS4" i="2" a="1"/>
  <c r="BS4" i="2" s="1"/>
  <c r="BR4" i="2" a="1"/>
  <c r="BQ4" i="2" a="1"/>
  <c r="BQ4" i="2" s="1"/>
  <c r="BP4" i="2" a="1"/>
  <c r="BP4" i="2" s="1"/>
  <c r="BO4" i="2" a="1"/>
  <c r="BO4" i="2" s="1"/>
  <c r="BN4" i="2" a="1"/>
  <c r="BN4" i="2" s="1"/>
  <c r="BM4" i="2" a="1"/>
  <c r="BM4" i="2" s="1"/>
  <c r="BL4" i="2" a="1"/>
  <c r="BL4" i="2" s="1"/>
  <c r="BK4" i="2" a="1"/>
  <c r="BK4" i="2" s="1"/>
  <c r="BJ4" i="2" a="1"/>
  <c r="BJ4" i="2" s="1"/>
  <c r="BI4" i="2" a="1"/>
  <c r="BH4" i="2" a="1"/>
  <c r="BH4" i="2" s="1"/>
  <c r="BG4" i="2" a="1"/>
  <c r="BG4" i="2" s="1"/>
  <c r="BF4" i="2" a="1"/>
  <c r="BF4" i="2" s="1"/>
  <c r="BE4" i="2" a="1"/>
  <c r="BE4" i="2" s="1"/>
  <c r="BD4" i="2" a="1"/>
  <c r="BD4" i="2" s="1"/>
  <c r="BC4" i="2" a="1"/>
  <c r="BC4" i="2" s="1"/>
  <c r="BB4" i="2" a="1"/>
  <c r="BB4" i="2" s="1"/>
  <c r="BA4" i="2" a="1"/>
  <c r="BA4" i="2" s="1"/>
  <c r="AZ4" i="2" a="1"/>
  <c r="AZ4" i="2" s="1"/>
  <c r="AY4" i="2" a="1"/>
  <c r="AY4" i="2" s="1"/>
  <c r="AX4" i="2" a="1"/>
  <c r="AX4" i="2" s="1"/>
  <c r="AW4" i="2" a="1"/>
  <c r="AW4" i="2" s="1"/>
  <c r="AV4" i="2" a="1"/>
  <c r="AV4" i="2" s="1"/>
  <c r="AU4" i="2" a="1"/>
  <c r="AU4" i="2" s="1"/>
  <c r="AT4" i="2" a="1"/>
  <c r="AT4" i="2" s="1"/>
  <c r="AS4" i="2" a="1"/>
  <c r="AS4" i="2" s="1"/>
  <c r="AR4" i="2" a="1"/>
  <c r="AR4" i="2" s="1"/>
  <c r="AQ4" i="2" a="1"/>
  <c r="AQ4" i="2" s="1"/>
  <c r="AP4" i="2" a="1"/>
  <c r="AP4" i="2" s="1"/>
  <c r="AO4" i="2" a="1"/>
  <c r="AO4" i="2" s="1"/>
  <c r="AN4" i="2" a="1"/>
  <c r="AN4" i="2" s="1"/>
  <c r="AM4" i="2" a="1"/>
  <c r="AM4" i="2" s="1"/>
  <c r="AL4" i="2" a="1"/>
  <c r="AL4" i="2" s="1"/>
  <c r="AK4" i="2" a="1"/>
  <c r="AK4" i="2" s="1"/>
  <c r="AJ4" i="2" a="1"/>
  <c r="AJ4" i="2" s="1"/>
  <c r="AI4" i="2" a="1"/>
  <c r="AH4" i="2" a="1"/>
  <c r="AH4" i="2" s="1"/>
  <c r="AG4" i="2" a="1"/>
  <c r="AG4" i="2" s="1"/>
  <c r="AF4" i="2" a="1"/>
  <c r="AF4" i="2" s="1"/>
  <c r="AE4" i="2" a="1"/>
  <c r="AE4" i="2" s="1"/>
  <c r="AD4" i="2" a="1"/>
  <c r="AC4" i="2" a="1"/>
  <c r="AC4" i="2" s="1"/>
  <c r="AB4" i="2" a="1"/>
  <c r="AB4" i="2" s="1"/>
  <c r="AA4" i="2" a="1"/>
  <c r="AA4" i="2" s="1"/>
  <c r="Z4" i="2" a="1"/>
  <c r="Z4" i="2" s="1"/>
  <c r="Y4" i="2" a="1"/>
  <c r="Y4" i="2" s="1"/>
  <c r="X4" i="2" a="1"/>
  <c r="X4" i="2" s="1"/>
  <c r="V4" i="2" a="1"/>
  <c r="V4" i="2" s="1"/>
  <c r="U4" i="2" a="1"/>
  <c r="U4" i="2" s="1"/>
  <c r="T4" i="2" a="1"/>
  <c r="T4" i="2" s="1"/>
  <c r="S4" i="2" a="1"/>
  <c r="S4" i="2" s="1"/>
  <c r="R4" i="2" a="1"/>
  <c r="R4" i="2" s="1"/>
  <c r="Q4" i="2" a="1"/>
  <c r="Q4" i="2" s="1"/>
  <c r="P4" i="2" a="1"/>
  <c r="P4" i="2" s="1"/>
  <c r="O4" i="2" a="1"/>
  <c r="O4" i="2" s="1"/>
  <c r="N4" i="2" a="1"/>
  <c r="N4" i="2" s="1"/>
  <c r="M4" i="2" a="1"/>
  <c r="M4" i="2" s="1"/>
  <c r="L4" i="2" a="1"/>
  <c r="L4" i="2" s="1"/>
  <c r="BR4" i="2" l="1"/>
  <c r="I40" i="2"/>
  <c r="I41" i="2"/>
  <c r="I42" i="2"/>
  <c r="I43" i="2"/>
  <c r="I25" i="2"/>
  <c r="I26" i="2"/>
  <c r="I27" i="2"/>
  <c r="I28" i="2"/>
  <c r="I29" i="2"/>
  <c r="I30" i="2"/>
  <c r="I31" i="2"/>
  <c r="I32" i="2"/>
  <c r="I33" i="2"/>
  <c r="I34" i="2"/>
  <c r="I35" i="2"/>
  <c r="I36" i="2"/>
  <c r="I37" i="2"/>
  <c r="I38" i="2"/>
  <c r="I39" i="2"/>
  <c r="BI4" i="2"/>
  <c r="I21" i="2"/>
  <c r="I22" i="2"/>
  <c r="I23" i="2"/>
  <c r="I24" i="2"/>
  <c r="I5" i="2"/>
  <c r="I6" i="2"/>
  <c r="I7" i="2"/>
  <c r="I8" i="2"/>
  <c r="I9" i="2"/>
  <c r="I10" i="2"/>
  <c r="I11" i="2"/>
  <c r="I12" i="2"/>
  <c r="I13" i="2"/>
  <c r="I14" i="2"/>
  <c r="I15" i="2"/>
  <c r="I20" i="2"/>
  <c r="I16" i="2"/>
  <c r="I17" i="2"/>
  <c r="I18" i="2"/>
  <c r="I19" i="2"/>
  <c r="C25" i="3" a="1"/>
  <c r="C25" i="3" s="1"/>
  <c r="C23" i="3" a="1"/>
  <c r="C23" i="3" s="1"/>
  <c r="AA46" i="3"/>
  <c r="AA39" i="3"/>
  <c r="AA40" i="3"/>
  <c r="AA49" i="3"/>
  <c r="AA58" i="3"/>
  <c r="AA38" i="3"/>
  <c r="AA41" i="3"/>
  <c r="AA34" i="3"/>
  <c r="AA42" i="3"/>
  <c r="AA33" i="3"/>
  <c r="AA35" i="3"/>
  <c r="AA43" i="3"/>
  <c r="AA51" i="3"/>
  <c r="AA44" i="3"/>
  <c r="AA52" i="3"/>
  <c r="AA36" i="3"/>
  <c r="AA45" i="3"/>
  <c r="AA53" i="3"/>
  <c r="AA37" i="3"/>
  <c r="AA54" i="3"/>
  <c r="AA55" i="3"/>
  <c r="AA47" i="3"/>
  <c r="AA48" i="3"/>
  <c r="AA56" i="3"/>
  <c r="AA57" i="3"/>
  <c r="AA50" i="3"/>
  <c r="W34" i="3"/>
  <c r="W46" i="3"/>
  <c r="W36" i="3"/>
  <c r="W53" i="3"/>
  <c r="W42" i="3"/>
  <c r="W45" i="3"/>
  <c r="W51" i="3"/>
  <c r="W35" i="3"/>
  <c r="W48" i="3"/>
  <c r="W37" i="3"/>
  <c r="W54" i="3"/>
  <c r="W55" i="3"/>
  <c r="W39" i="3"/>
  <c r="W56" i="3"/>
  <c r="W57" i="3"/>
  <c r="W43" i="3"/>
  <c r="W49" i="3"/>
  <c r="W38" i="3"/>
  <c r="W44" i="3"/>
  <c r="W58" i="3"/>
  <c r="W50" i="3"/>
  <c r="W40" i="3"/>
  <c r="W52" i="3"/>
  <c r="W41" i="3"/>
  <c r="W47" i="3"/>
  <c r="AD4" i="2"/>
  <c r="W33" i="3"/>
  <c r="AI4" i="2"/>
  <c r="I4" i="2" l="1"/>
  <c r="C15" i="3"/>
  <c r="C21" i="3"/>
  <c r="E22" i="3"/>
  <c r="E23" i="3"/>
  <c r="B11" i="3"/>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<sst xmlns="http://schemas.openxmlformats.org/spreadsheetml/2006/main" count="4029" uniqueCount="1237">
  <si>
    <t>Country</t>
  </si>
  <si>
    <t>State</t>
  </si>
  <si>
    <t>City_WUFIp Data Set</t>
  </si>
  <si>
    <t>THD-1 [F]</t>
  </si>
  <si>
    <t>State Options</t>
  </si>
  <si>
    <t>City Options</t>
  </si>
  <si>
    <t>AB</t>
  </si>
  <si>
    <t>AE</t>
  </si>
  <si>
    <t>AK</t>
  </si>
  <si>
    <t>AL</t>
  </si>
  <si>
    <t>AR</t>
  </si>
  <si>
    <t>AZ</t>
  </si>
  <si>
    <t>BC</t>
  </si>
  <si>
    <t>BD</t>
  </si>
  <si>
    <t>CA</t>
  </si>
  <si>
    <t>CO</t>
  </si>
  <si>
    <t>CT</t>
  </si>
  <si>
    <t>DE</t>
  </si>
  <si>
    <t>FL</t>
  </si>
  <si>
    <t>GA</t>
  </si>
  <si>
    <t>HI</t>
  </si>
  <si>
    <t>IA</t>
  </si>
  <si>
    <t>ID</t>
  </si>
  <si>
    <t>IL</t>
  </si>
  <si>
    <t>IN</t>
  </si>
  <si>
    <t>KS</t>
  </si>
  <si>
    <t>KY</t>
  </si>
  <si>
    <t>LA</t>
  </si>
  <si>
    <t>MA</t>
  </si>
  <si>
    <t>MB</t>
  </si>
  <si>
    <t>MD</t>
  </si>
  <si>
    <t>ME</t>
  </si>
  <si>
    <t>MI</t>
  </si>
  <si>
    <t>MN</t>
  </si>
  <si>
    <t>MO</t>
  </si>
  <si>
    <t>MS</t>
  </si>
  <si>
    <t>MT</t>
  </si>
  <si>
    <t>NB</t>
  </si>
  <si>
    <t>NC</t>
  </si>
  <si>
    <t>ND</t>
  </si>
  <si>
    <t>NE</t>
  </si>
  <si>
    <t>NL</t>
  </si>
  <si>
    <t>NH</t>
  </si>
  <si>
    <t>NJ</t>
  </si>
  <si>
    <t>NM</t>
  </si>
  <si>
    <t>NS</t>
  </si>
  <si>
    <t>NT</t>
  </si>
  <si>
    <t>NU</t>
  </si>
  <si>
    <t>NV</t>
  </si>
  <si>
    <t>NY</t>
  </si>
  <si>
    <t>OH</t>
  </si>
  <si>
    <t>OK</t>
  </si>
  <si>
    <t>ON</t>
  </si>
  <si>
    <t>OR</t>
  </si>
  <si>
    <t>PA</t>
  </si>
  <si>
    <t>PE</t>
  </si>
  <si>
    <t>QC</t>
  </si>
  <si>
    <t>RI</t>
  </si>
  <si>
    <t>SA</t>
  </si>
  <si>
    <t>SC</t>
  </si>
  <si>
    <t>SD</t>
  </si>
  <si>
    <t>SK</t>
  </si>
  <si>
    <t>TN</t>
  </si>
  <si>
    <t>TX</t>
  </si>
  <si>
    <t>UT</t>
  </si>
  <si>
    <t>VA</t>
  </si>
  <si>
    <t>VT</t>
  </si>
  <si>
    <t>WA</t>
  </si>
  <si>
    <t>WI</t>
  </si>
  <si>
    <t>WV</t>
  </si>
  <si>
    <t>WY</t>
  </si>
  <si>
    <t>YT</t>
  </si>
  <si>
    <t>Canada</t>
  </si>
  <si>
    <t>CALGARY INT AP</t>
  </si>
  <si>
    <t>COP UPPER</t>
  </si>
  <si>
    <t>United Arab Emirates</t>
  </si>
  <si>
    <t>EDMONTON AP</t>
  </si>
  <si>
    <t>USA</t>
  </si>
  <si>
    <t>EDMONTON MUN AP</t>
  </si>
  <si>
    <t>EDMONTON NAMAO</t>
  </si>
  <si>
    <t>FORT MCMURRAY AP</t>
  </si>
  <si>
    <t>GRAND PRAIRIE</t>
  </si>
  <si>
    <t>LACOMBE</t>
  </si>
  <si>
    <t>India</t>
  </si>
  <si>
    <t>LETHBRIDGE</t>
  </si>
  <si>
    <t>MEDICINE AP</t>
  </si>
  <si>
    <t>RED DEER AP</t>
  </si>
  <si>
    <t>Colombia</t>
  </si>
  <si>
    <t>SPRINGBANK</t>
  </si>
  <si>
    <t>DUBAI INT AP</t>
  </si>
  <si>
    <t>ADAK NAS</t>
  </si>
  <si>
    <t>AMBLER</t>
  </si>
  <si>
    <t>ANAKTUVUK PASS</t>
  </si>
  <si>
    <t>ANCHORAGE INTL AP</t>
  </si>
  <si>
    <t>ANCHORAGE MERRILL FIELD</t>
  </si>
  <si>
    <t>ANCHORAGE/ELMENDORF</t>
  </si>
  <si>
    <t>ANIAK AIRPORT</t>
  </si>
  <si>
    <t>ANNETTE ISLAND AP</t>
  </si>
  <si>
    <t>ANVIK</t>
  </si>
  <si>
    <t>BARROW W POST-W ROGERS ARPT [NSA - ARM]</t>
  </si>
  <si>
    <t>BETHEL AIRPORT</t>
  </si>
  <si>
    <t>BETTLES FIELD</t>
  </si>
  <si>
    <t>BIG DELTA ALLEN AAF</t>
  </si>
  <si>
    <t>BIG RIVER LAKE</t>
  </si>
  <si>
    <t>BIRCHWOOD</t>
  </si>
  <si>
    <t>COLD BAY ARPT</t>
  </si>
  <si>
    <t>CORDOVA</t>
  </si>
  <si>
    <t>DEADHORSE</t>
  </si>
  <si>
    <t>DILLINGHAM (AMOS)</t>
  </si>
  <si>
    <t>DUTCH HARBOR</t>
  </si>
  <si>
    <t>EMMONAK</t>
  </si>
  <si>
    <t>FAIRBANKS INTL ARPT</t>
  </si>
  <si>
    <t>FAIRBANKS/EIELSON A</t>
  </si>
  <si>
    <t>FORT YUKON</t>
  </si>
  <si>
    <t>GAMBELL</t>
  </si>
  <si>
    <t>GULKANA INTERMEDIATE FIELD</t>
  </si>
  <si>
    <t>GUSTAVUS</t>
  </si>
  <si>
    <t>HOMER ARPT</t>
  </si>
  <si>
    <t>HOOPER BAY</t>
  </si>
  <si>
    <t>HYDABURG SEAPLANE</t>
  </si>
  <si>
    <t>ILIAMNA ARPT</t>
  </si>
  <si>
    <t>JUNEAU INT ARPT</t>
  </si>
  <si>
    <t>KAKE SEAPLANE BASE</t>
  </si>
  <si>
    <t>KENAI MUNICIPAL AP</t>
  </si>
  <si>
    <t>KETCHIKAN INTL AP</t>
  </si>
  <si>
    <t>KING SALMON ARPT</t>
  </si>
  <si>
    <t>KODIAK AIRPORT</t>
  </si>
  <si>
    <t>KOTZEBUE RALPH WEIN MEMORIAL</t>
  </si>
  <si>
    <t>LAKE HOOD SEAPLANE</t>
  </si>
  <si>
    <t>MCGRATH ARPT</t>
  </si>
  <si>
    <t>MEKORYUK</t>
  </si>
  <si>
    <t>MIDDLETON ISLAND AUT</t>
  </si>
  <si>
    <t>Saudi Arabia</t>
  </si>
  <si>
    <t>NENANA MUNICIPAL AP</t>
  </si>
  <si>
    <t>NOME MUNICIPAL ARPT</t>
  </si>
  <si>
    <t>NORTHWAY AIRPORT</t>
  </si>
  <si>
    <t>PALMER MUNICIPAL</t>
  </si>
  <si>
    <t>PETERSBURG</t>
  </si>
  <si>
    <t>POINT HOPE (AWOS)</t>
  </si>
  <si>
    <t>PORT HEIDEN</t>
  </si>
  <si>
    <t>SAINT MARY`S (AWOS)</t>
  </si>
  <si>
    <t>SAND POINT</t>
  </si>
  <si>
    <t>SAVOONGA</t>
  </si>
  <si>
    <t>SELAWIK</t>
  </si>
  <si>
    <t>SEWARD</t>
  </si>
  <si>
    <t>SHEMYA AFB</t>
  </si>
  <si>
    <t>SHISHMAREF (AWOS)</t>
  </si>
  <si>
    <t>SITKA JAPONSKI AP</t>
  </si>
  <si>
    <t>SKAGWAY AIRPORT</t>
  </si>
  <si>
    <t>SLEETMUTE</t>
  </si>
  <si>
    <t>SOLDOTNA</t>
  </si>
  <si>
    <t>ST PAUL ISLAND ARPT</t>
  </si>
  <si>
    <t>TALKEETNA STATE ARPT</t>
  </si>
  <si>
    <t>TANANA RALPH M CALHOUN MEM AP</t>
  </si>
  <si>
    <t>TOGIAK VILLAGE AWOS</t>
  </si>
  <si>
    <t>UNALAKLEET FIELD</t>
  </si>
  <si>
    <t>VALDEZ PIONEER FIEL</t>
  </si>
  <si>
    <t>VALDEZ WSO</t>
  </si>
  <si>
    <t>WHITTIER</t>
  </si>
  <si>
    <t>WRANGELL</t>
  </si>
  <si>
    <t>YAKUTAT STATE ARPT</t>
  </si>
  <si>
    <t>ANNISTON METROPOLITAN AP</t>
  </si>
  <si>
    <t>AUBURN-OPELIKA APT</t>
  </si>
  <si>
    <t>BIRMINGHAM MUNICIPAL AP</t>
  </si>
  <si>
    <t>CAIRNS FIELD FORT RUCKER</t>
  </si>
  <si>
    <t>DOTHAN MUNICIPAL AP</t>
  </si>
  <si>
    <t>HUNTSVILLE INTL/JONES FIELD</t>
  </si>
  <si>
    <t>MAXWELL AFB</t>
  </si>
  <si>
    <t>MOBILE DOWNTOWN AP</t>
  </si>
  <si>
    <t>MOBILE REGIONAL AP</t>
  </si>
  <si>
    <t>MONTGOMERY DANNELLY FIELD</t>
  </si>
  <si>
    <t>MUSCLE SHOALS REGIONAL AP</t>
  </si>
  <si>
    <t>TUSCALOOSA MUNICIPAL AP</t>
  </si>
  <si>
    <t>BATESVILLE (AWOS)</t>
  </si>
  <si>
    <t>BENTONVILLE (AWOS)</t>
  </si>
  <si>
    <t>EL DORADO GOODWIN FIELD</t>
  </si>
  <si>
    <t>FAYETTEVILLE DRAKE FIELD</t>
  </si>
  <si>
    <t>FLIPPIN (AWOS)</t>
  </si>
  <si>
    <t>FORT SMITH REGIONAL AP</t>
  </si>
  <si>
    <t>HARRISON FAA AP</t>
  </si>
  <si>
    <t>JONESBORO MUNI</t>
  </si>
  <si>
    <t>LITTLE ROCK ADAMS FIELD</t>
  </si>
  <si>
    <t>LITTLE ROCK AFB</t>
  </si>
  <si>
    <t>PINE BLUFF FAA AP</t>
  </si>
  <si>
    <t>ROGERS (AWOS)</t>
  </si>
  <si>
    <t>SILOAM SPRING(AWOS)</t>
  </si>
  <si>
    <t>SPRINGDALE MUNI</t>
  </si>
  <si>
    <t>STUTTGART (AWOS)</t>
  </si>
  <si>
    <t>TEXARKANA WEBB FIELD</t>
  </si>
  <si>
    <t>WALNUT RIDGE (AWOS)</t>
  </si>
  <si>
    <t>CASA GRANDE (AWOS)</t>
  </si>
  <si>
    <t>DAVIS MONTHAN AFB</t>
  </si>
  <si>
    <t>DEER VALLEY/PHOENIX</t>
  </si>
  <si>
    <t>DOUGLAS BISBEE-DOUGLAS INTL A</t>
  </si>
  <si>
    <t>FLAGSTAFF PULLIAM ARPT</t>
  </si>
  <si>
    <t>GRAND CANYON NATL P</t>
  </si>
  <si>
    <t>KINGMAN (AMOS)</t>
  </si>
  <si>
    <t>LUKE AFB</t>
  </si>
  <si>
    <t>PAGE MUNI (AMOS)</t>
  </si>
  <si>
    <t>PHOENIX SKY HARBOR INTL AP</t>
  </si>
  <si>
    <t>PRESCOTT LOVE FIELD</t>
  </si>
  <si>
    <t>SAFFORD (AMOS)</t>
  </si>
  <si>
    <t>SCOTTSDALE MUNI</t>
  </si>
  <si>
    <t>TUCSON INTERNATIONAL AP</t>
  </si>
  <si>
    <t>WINSLOW MUNICIPAL AP</t>
  </si>
  <si>
    <t>YUMA INTL ARPT</t>
  </si>
  <si>
    <t>YUMA MCAS</t>
  </si>
  <si>
    <t>ABBOTSFORD AP</t>
  </si>
  <si>
    <t>AGASSIZ CDA</t>
  </si>
  <si>
    <t>BALLENAS ISLAND</t>
  </si>
  <si>
    <t>COMOX AP</t>
  </si>
  <si>
    <t>CRANBROOK AP</t>
  </si>
  <si>
    <t>DISCOVERY ISLAND</t>
  </si>
  <si>
    <t>ENTRANCE ISLAND</t>
  </si>
  <si>
    <t>ESQUIMALT HARBOUR</t>
  </si>
  <si>
    <t>FORT NELSON</t>
  </si>
  <si>
    <t>FORT SAINT JOHN</t>
  </si>
  <si>
    <t>KAMLOOPS AP</t>
  </si>
  <si>
    <t>KELOWNA AP</t>
  </si>
  <si>
    <t>MALAHAT</t>
  </si>
  <si>
    <t>NORTH VANCOUVER</t>
  </si>
  <si>
    <t>PENTICTON AP</t>
  </si>
  <si>
    <t>PITT MEADOWS</t>
  </si>
  <si>
    <t>PRINCE GEORGE</t>
  </si>
  <si>
    <t>SMITHERS AP</t>
  </si>
  <si>
    <t>SUMMERLAND</t>
  </si>
  <si>
    <t>VANCOUVER</t>
  </si>
  <si>
    <t>VERNON</t>
  </si>
  <si>
    <t>VICTORIA AP</t>
  </si>
  <si>
    <t>VICTORIA</t>
  </si>
  <si>
    <t>VICTORIA UNIV</t>
  </si>
  <si>
    <t>W VANCOUVER</t>
  </si>
  <si>
    <t>WHISTLER</t>
  </si>
  <si>
    <t>WHITE ROCK</t>
  </si>
  <si>
    <t>DHAKA</t>
  </si>
  <si>
    <t>ALTURAS</t>
  </si>
  <si>
    <t>ARCATA AIRPORT</t>
  </si>
  <si>
    <t>BAKERSFIELD MEADOWS FIELD</t>
  </si>
  <si>
    <t>BEALE AFB</t>
  </si>
  <si>
    <t>BISHOP AIRPORT</t>
  </si>
  <si>
    <t>BLUE CANYON AP</t>
  </si>
  <si>
    <t>BLYTHE RIVERSIDE CO ARPT</t>
  </si>
  <si>
    <t>BURBANK-GLENDALE-PASADENA AP</t>
  </si>
  <si>
    <t>CAMARILLO (AWOS)</t>
  </si>
  <si>
    <t>CAMP PENDLETON MCAS</t>
  </si>
  <si>
    <t>CARLSBAD/PALOMAR</t>
  </si>
  <si>
    <t>CHINO AIRPORT</t>
  </si>
  <si>
    <t>CHULA VISTA BROWN FIELD NAAS</t>
  </si>
  <si>
    <t>CONCORD CONCORD-BUCHANAN FIEL</t>
  </si>
  <si>
    <t>CRESCENT CITY FAA AI</t>
  </si>
  <si>
    <t>DAGGETT BARSTOW-DAGGETT AP</t>
  </si>
  <si>
    <t>EDWARDS AFB</t>
  </si>
  <si>
    <t>FRESNO YOSEMITE INTL AP</t>
  </si>
  <si>
    <t>FULLERTON MUNICIPAL</t>
  </si>
  <si>
    <t>HAYWARD AIR TERM</t>
  </si>
  <si>
    <t>IMPERIAL</t>
  </si>
  <si>
    <t>JACK NORTHROP FLD H</t>
  </si>
  <si>
    <t>LANCASTER GEN WM FOX FIELD</t>
  </si>
  <si>
    <t>LEMOORE REEVES NAS</t>
  </si>
  <si>
    <t>LIVERMORE MUNICIPAL</t>
  </si>
  <si>
    <t>LOMPOC (AWOS)</t>
  </si>
  <si>
    <t>LONG BEACH DAUGHERTY FLD</t>
  </si>
  <si>
    <t>LOS ANGELES INTL ARPT</t>
  </si>
  <si>
    <t>MARCH AFB</t>
  </si>
  <si>
    <t>MERCED/MACREADY FLD</t>
  </si>
  <si>
    <t>MODESTO CITY-COUNTY AP</t>
  </si>
  <si>
    <t>MONTAGUE SISKIYOU COUNTY AP</t>
  </si>
  <si>
    <t>MONTEREY NAF</t>
  </si>
  <si>
    <t>MOUNTAIN VIEW MOFFETT FLD NAS</t>
  </si>
  <si>
    <t>NAPA CO. AIRPORT</t>
  </si>
  <si>
    <t>NEEDLES AIRPORT</t>
  </si>
  <si>
    <t>OAKLAND METROPOLITAN ARPT</t>
  </si>
  <si>
    <t>OXNARD AIRPORT</t>
  </si>
  <si>
    <t>PALM SPRINGS INTL</t>
  </si>
  <si>
    <t>PALM SPRINGS THERMAL AP</t>
  </si>
  <si>
    <t>PALMDALE AIRPORT</t>
  </si>
  <si>
    <t>PASO ROBLES MUNICIPAL ARPT</t>
  </si>
  <si>
    <t>POINT MUGU NF</t>
  </si>
  <si>
    <t>PORTERVILLE (AWOS)</t>
  </si>
  <si>
    <t>RED BLUFF MUNICIPAL ARPT</t>
  </si>
  <si>
    <t>REDDING MUNICIPAL ARPT</t>
  </si>
  <si>
    <t>RIVERSIDE MUNI</t>
  </si>
  <si>
    <t>SACRAMENTO EXECUTIVE ARPT</t>
  </si>
  <si>
    <t>SACRAMENTO METROPOLITAN AP</t>
  </si>
  <si>
    <t>SALINAS MUNICIPAL AP</t>
  </si>
  <si>
    <t>SAN DIEGO LINDBERGH FIELD</t>
  </si>
  <si>
    <t>SAN DIEGO MIRAMAR NAS</t>
  </si>
  <si>
    <t>SAN DIEGO NORTH ISLAND NAS</t>
  </si>
  <si>
    <t>SAN DIEGO/MONTGOMER</t>
  </si>
  <si>
    <t>SAN FRANCISCO INTL AP</t>
  </si>
  <si>
    <t>SAN JOSE INTL AP</t>
  </si>
  <si>
    <t>SAN LUIS CO RGNL</t>
  </si>
  <si>
    <t>SANDBERG</t>
  </si>
  <si>
    <t>SANTA BARBARA MUNICIPAL AP</t>
  </si>
  <si>
    <t>SANTA MARIA PUBLIC ARPT</t>
  </si>
  <si>
    <t>SANTA MONICA MUNI</t>
  </si>
  <si>
    <t>SANTA ROSA (AWOS)</t>
  </si>
  <si>
    <t>STOCKTON METROPOLITAN ARPT</t>
  </si>
  <si>
    <t>TRAVIS FIELD AFB</t>
  </si>
  <si>
    <t>TRUCKEE-TAHOE</t>
  </si>
  <si>
    <t>UKIAH MUNICIPAL AP</t>
  </si>
  <si>
    <t>VAN NUYS AIRPORT</t>
  </si>
  <si>
    <t>VISALIA MUNI (AWOS)</t>
  </si>
  <si>
    <t>YUBA CO</t>
  </si>
  <si>
    <t>AKRON WASHINGTON CO AP</t>
  </si>
  <si>
    <t>ALAMOSA SAN LUIS VALLEY RGNL</t>
  </si>
  <si>
    <t>ASPEN PITKIN CO SAR</t>
  </si>
  <si>
    <t>AURORA BUCKLEY FIELD ANGB</t>
  </si>
  <si>
    <t>BARRANQUILLA</t>
  </si>
  <si>
    <t>BROOMFIELD/JEFFCO [BOULDER - SURFRAD]</t>
  </si>
  <si>
    <t>CALI</t>
  </si>
  <si>
    <t>CARTAGENA</t>
  </si>
  <si>
    <t>COLORADO SPRINGS MUNI AP</t>
  </si>
  <si>
    <t>CORTEZ/MONTEZUMA</t>
  </si>
  <si>
    <t>CRAIG-MOFFAT</t>
  </si>
  <si>
    <t>DENVER INTL AP</t>
  </si>
  <si>
    <t>DENVER/CENTENNIAL [GOLDEN - NREL]</t>
  </si>
  <si>
    <t>DURANGO/LA PLATA CO</t>
  </si>
  <si>
    <t>EAGLE COUNTY AP</t>
  </si>
  <si>
    <t>FORT COLLINS (AWOS)</t>
  </si>
  <si>
    <t>GRAND JUNCTION WALKER FIELD</t>
  </si>
  <si>
    <t>GREELEY/WELD (AWOS)</t>
  </si>
  <si>
    <t>GUNNISON CO. (AWOS)</t>
  </si>
  <si>
    <t>HAYDEN/YAMPA (AWOS)</t>
  </si>
  <si>
    <t>LA JUNTA MUNICIPAL AP</t>
  </si>
  <si>
    <t>LAMAR MUNICIPAL</t>
  </si>
  <si>
    <t>LEADVILLE/LAKE CO.</t>
  </si>
  <si>
    <t>LIMON</t>
  </si>
  <si>
    <t>MONTROSE CO. ARPT</t>
  </si>
  <si>
    <t>PUEBLO MEMORIAL AP</t>
  </si>
  <si>
    <t>RIFLE/GARFIELD RGNL</t>
  </si>
  <si>
    <t>TRINIDAD LAS ANIMAS COUNTY AP</t>
  </si>
  <si>
    <t>BRIDGEPORT SIKORSKY MEMORIAL</t>
  </si>
  <si>
    <t>DANBURY MUNICIPAL</t>
  </si>
  <si>
    <t>GROTON NEW LONDON AP</t>
  </si>
  <si>
    <t>HARTFORD BRADLEY INTL AP</t>
  </si>
  <si>
    <t>HARTFORD BRAINARD FD</t>
  </si>
  <si>
    <t>NEW HAVEN TWEED AIRPORT</t>
  </si>
  <si>
    <t>OXFORD (AWOS)</t>
  </si>
  <si>
    <t>DOVER AFB</t>
  </si>
  <si>
    <t>WILMINGTON NEW CASTLE CNTY AP</t>
  </si>
  <si>
    <t>CRESTVIEW BOB SIKES AP</t>
  </si>
  <si>
    <t>DAYTONA BEACH INTL AP</t>
  </si>
  <si>
    <t>FORT LAUDERDALE</t>
  </si>
  <si>
    <t>FORT LAUDERDALE HOLLYWOOD INT</t>
  </si>
  <si>
    <t>FORT MYERS PAGE FIELD</t>
  </si>
  <si>
    <t>GAINESVILLE REGIONAL AP</t>
  </si>
  <si>
    <t>HOMESTEAD AFB</t>
  </si>
  <si>
    <t>JACKSONVILLE INTL ARPT</t>
  </si>
  <si>
    <t>JACKSONVILLE NAS</t>
  </si>
  <si>
    <t>JACKSONVILLE/CRAIG</t>
  </si>
  <si>
    <t>KEY WEST INTL ARPT</t>
  </si>
  <si>
    <t>KEY WEST NAS</t>
  </si>
  <si>
    <t>MACDILL AFB</t>
  </si>
  <si>
    <t>MARATHON AIRPORT</t>
  </si>
  <si>
    <t>MAYPORT NS</t>
  </si>
  <si>
    <t>MELBOURNE REGIONAL AP</t>
  </si>
  <si>
    <t>MIAMI INTL AP</t>
  </si>
  <si>
    <t>MIAMI/KENDALL-TAMIA</t>
  </si>
  <si>
    <t>MIAMI/OPA LOCKA</t>
  </si>
  <si>
    <t>NAPLES MUNICIPAL</t>
  </si>
  <si>
    <t>NASA SHUTTLE FCLTY</t>
  </si>
  <si>
    <t>OCALA MUNI (AWOS)</t>
  </si>
  <si>
    <t>ORLANDO EXECUTIVE AP</t>
  </si>
  <si>
    <t>ORLANDO INTL ARPT</t>
  </si>
  <si>
    <t>ORLANDO SANFORD AIRPORT</t>
  </si>
  <si>
    <t>PANAMA CITY BAY CO</t>
  </si>
  <si>
    <t>PENSACOLA FOREST SHERMAN NAS</t>
  </si>
  <si>
    <t>PENSACOLA REGIONAL AP</t>
  </si>
  <si>
    <t>SARASOTA BRADENTON</t>
  </si>
  <si>
    <t>SOUTHWEST FLORIDA I</t>
  </si>
  <si>
    <t>ST LUCIE CO INTL</t>
  </si>
  <si>
    <t>ST PETERSBURG ALBERT WHITTED</t>
  </si>
  <si>
    <t>ST PETERSBURG CLEAR</t>
  </si>
  <si>
    <t>TALLAHASSEE REGIONAL AP [ISIS]</t>
  </si>
  <si>
    <t>TAMPA INTERNATIONAL AP</t>
  </si>
  <si>
    <t>TYNDALL AFB</t>
  </si>
  <si>
    <t>VALPARAISO EGLIN AFB</t>
  </si>
  <si>
    <t>VALPARAISO HURLBURT</t>
  </si>
  <si>
    <t>VERO BEACH MUNICIPAL ARPT</t>
  </si>
  <si>
    <t>WHITING FIELD NAAS</t>
  </si>
  <si>
    <t>ALBANY DOUGHERTY COUNTY AP</t>
  </si>
  <si>
    <t>ALMA BACON COUNTY AP</t>
  </si>
  <si>
    <t>ATHENS BEN EPPS AP</t>
  </si>
  <si>
    <t>ATLANTA HARTSFIELD INTL AP</t>
  </si>
  <si>
    <t>AUGUSTA BUSH FIELD</t>
  </si>
  <si>
    <t>BRUNSWICK GOLDEN IS</t>
  </si>
  <si>
    <t>BRUNSWICK MALCOLM MCKINNON AP</t>
  </si>
  <si>
    <t>COLUMBUS METROPOLITAN ARPT</t>
  </si>
  <si>
    <t>DEKALB PEACHTREE</t>
  </si>
  <si>
    <t>FORT BENNING LAWSON</t>
  </si>
  <si>
    <t>FULTON CO ARPT BROW</t>
  </si>
  <si>
    <t>HUNTER AAF</t>
  </si>
  <si>
    <t>MACON MIDDLE GA REGIONAL AP</t>
  </si>
  <si>
    <t>MARIETTA DOBBINS AFB</t>
  </si>
  <si>
    <t>MOODY AFB/VALDOSTA</t>
  </si>
  <si>
    <t>ROME R B RUSSELL AP</t>
  </si>
  <si>
    <t>SAVANNAH INTL AP</t>
  </si>
  <si>
    <t>VALDOSTA WB AIRPORT</t>
  </si>
  <si>
    <t>WARNER ROBINS AFB</t>
  </si>
  <si>
    <t>BARBERS POINT NAS</t>
  </si>
  <si>
    <t>HILO INTERNATIONAL AP</t>
  </si>
  <si>
    <t>HONOLULU INTL ARPT</t>
  </si>
  <si>
    <t>KAHULUI AIRPORT</t>
  </si>
  <si>
    <t>KANEOHE BAY MCAS</t>
  </si>
  <si>
    <t>KONA INTL AT KEAHOL</t>
  </si>
  <si>
    <t>LIHUE AIRPORT</t>
  </si>
  <si>
    <t>MOLOKAI (AMOS)</t>
  </si>
  <si>
    <t>ALGONA</t>
  </si>
  <si>
    <t>ATLANTIC</t>
  </si>
  <si>
    <t>BOONE MUNI</t>
  </si>
  <si>
    <t>BURLINGTON MUNICIPAL AP</t>
  </si>
  <si>
    <t>CARROLL</t>
  </si>
  <si>
    <t>CEDAR RAPIDS MUNICIPAL AP</t>
  </si>
  <si>
    <t>CHARITON</t>
  </si>
  <si>
    <t>CHARLES CITY</t>
  </si>
  <si>
    <t>CLARINDA</t>
  </si>
  <si>
    <t>CLINTON MUNI (AWOS)</t>
  </si>
  <si>
    <t>COUNCIL BLUFFS</t>
  </si>
  <si>
    <t>CRESTON</t>
  </si>
  <si>
    <t>DECORAH</t>
  </si>
  <si>
    <t>DENISON</t>
  </si>
  <si>
    <t>DES MOINES INTL AP</t>
  </si>
  <si>
    <t>DUBUQUE REGIONAL AP</t>
  </si>
  <si>
    <t>ESTHERVILLE MUNI</t>
  </si>
  <si>
    <t>FAIR FIELD</t>
  </si>
  <si>
    <t>FORT DODGE (AWOS)</t>
  </si>
  <si>
    <t>FORT MADISON</t>
  </si>
  <si>
    <t>KEOKUK MUNI</t>
  </si>
  <si>
    <t>KNOXVILLE</t>
  </si>
  <si>
    <t>LE MARS</t>
  </si>
  <si>
    <t>MASON CITY MUNICIPAL ARPT</t>
  </si>
  <si>
    <t>MONTICELLO MUNI</t>
  </si>
  <si>
    <t>MUSCATINE</t>
  </si>
  <si>
    <t>NEWTON MUNI</t>
  </si>
  <si>
    <t>OELWEN</t>
  </si>
  <si>
    <t>ORANGE CITY</t>
  </si>
  <si>
    <t>OTTUMWA INDUSTRIAL AP</t>
  </si>
  <si>
    <t>RED OAK</t>
  </si>
  <si>
    <t>SHELDON</t>
  </si>
  <si>
    <t>SHENANDOAH MUNI</t>
  </si>
  <si>
    <t>SIOUX CITY SIOUX GATEWAY AP</t>
  </si>
  <si>
    <t>SPENCER</t>
  </si>
  <si>
    <t>STORM LAKE</t>
  </si>
  <si>
    <t>WASHINGTON</t>
  </si>
  <si>
    <t>WATERLOO MUNICIPAL AP</t>
  </si>
  <si>
    <t>WEBSTER CITY</t>
  </si>
  <si>
    <t>BOISE AIR TERMINAL [UO]</t>
  </si>
  <si>
    <t>BURLEY MUNICIPAL ARPT</t>
  </si>
  <si>
    <t>CALDWELL (AWOS)</t>
  </si>
  <si>
    <t>COEUR D`ALENE(AWOS)</t>
  </si>
  <si>
    <t>IDAHO FALLS FANNING FIELD</t>
  </si>
  <si>
    <t>JOSLIN FLD MAGIC VA [TWIN FALLS - UO]</t>
  </si>
  <si>
    <t>LEWISTON NEZ PERCE CNTY AP</t>
  </si>
  <si>
    <t>MOUNTAIN HOME AFB</t>
  </si>
  <si>
    <t>POCATELLO REGIONAL AP</t>
  </si>
  <si>
    <t>SALMON/LEMHI (AWOS)</t>
  </si>
  <si>
    <t>AURORA MUNICIPAL</t>
  </si>
  <si>
    <t>BELLEVILLE SCOTT AFB</t>
  </si>
  <si>
    <t>CAHOKIA/ST. LOUIS</t>
  </si>
  <si>
    <t>CENTRAL ILLINOIS RG</t>
  </si>
  <si>
    <t>CHICAGO MIDWAY AP</t>
  </si>
  <si>
    <t>CHICAGO OHARE INTL AP</t>
  </si>
  <si>
    <t>CHICAGO/WAUKEGAN</t>
  </si>
  <si>
    <t>DECATUR</t>
  </si>
  <si>
    <t>MARION REGIONAL</t>
  </si>
  <si>
    <t>MOLINE QUAD CITY INTL AP</t>
  </si>
  <si>
    <t>MOUNT VERNON (AWOS)</t>
  </si>
  <si>
    <t>PEORIA GREATER PEORIA AP</t>
  </si>
  <si>
    <t>QUINCY MUNI BALDWIN FLD</t>
  </si>
  <si>
    <t>ROCKFORD GREATER ROCKFORD AP</t>
  </si>
  <si>
    <t>SOUTHERN ILLINOIS</t>
  </si>
  <si>
    <t>SPRINGFIELD CAPITAL AP</t>
  </si>
  <si>
    <t>STERLING ROCKFALLS</t>
  </si>
  <si>
    <t>UNIV OF ILLINOIS WI [BONDVILLE - SURFRAD]</t>
  </si>
  <si>
    <t>W. CHICAGO/DU PAGE</t>
  </si>
  <si>
    <t>DELAWARE CO JOHNSON</t>
  </si>
  <si>
    <t>EVANSVILLE REGIONAL AP</t>
  </si>
  <si>
    <t>FORT WAYNE INTL AP</t>
  </si>
  <si>
    <t>GRISSOM ARB</t>
  </si>
  <si>
    <t>HUNTINGBURG</t>
  </si>
  <si>
    <t>INDIANAPOLIS INTL AP</t>
  </si>
  <si>
    <t>LAFAYETTE PURDUE UNIV AP</t>
  </si>
  <si>
    <t>MONROE CO</t>
  </si>
  <si>
    <t>NEW DELHI SAFDARJUNG AP</t>
  </si>
  <si>
    <t>PATNA</t>
  </si>
  <si>
    <t>SOUTH BEND MICHIANA RGNL AP</t>
  </si>
  <si>
    <t>TERRE HAUTE HULMAN REGIONAL A</t>
  </si>
  <si>
    <t>CHANUTE MARTIN JOHNSON AP</t>
  </si>
  <si>
    <t>CONCORDIA BLOSSER MUNI AP</t>
  </si>
  <si>
    <t>DODGE CITY REGIONAL AP</t>
  </si>
  <si>
    <t>EMPORIA MUNICIPAL AP</t>
  </si>
  <si>
    <t>FORT RILEY MARSHALL AAF</t>
  </si>
  <si>
    <t>GARDEN CITY MUNICIPAL AP</t>
  </si>
  <si>
    <t>GOODLAND RENNER FIELD</t>
  </si>
  <si>
    <t>GREAT BEND (AWOS)</t>
  </si>
  <si>
    <t>HAYS MUNI (AWOS)</t>
  </si>
  <si>
    <t>HILL CITY MUNICIPAL AP</t>
  </si>
  <si>
    <t>HUTCHINSON MUNICIPAL AP</t>
  </si>
  <si>
    <t>LIBERAL MUNI</t>
  </si>
  <si>
    <t>MANHATTAN RGNL</t>
  </si>
  <si>
    <t>MCCONNELL AFB</t>
  </si>
  <si>
    <t>NEWTON (AWOS)</t>
  </si>
  <si>
    <t>RUSSELL MUNICIPAL AP</t>
  </si>
  <si>
    <t>SALINA MUNICIPAL AP</t>
  </si>
  <si>
    <t>TOPEKA FORBES FIELD</t>
  </si>
  <si>
    <t>TOPEKA MUNICIPAL AP</t>
  </si>
  <si>
    <t>WICHITA MID-CONTINENT AP</t>
  </si>
  <si>
    <t>WICHITA/COL. JABARA</t>
  </si>
  <si>
    <t>BOWLING GREEN WARREN CO AP</t>
  </si>
  <si>
    <t>CINCINNATI NORTHERN KY AP</t>
  </si>
  <si>
    <t>FORT CAMPBELL AAF</t>
  </si>
  <si>
    <t>FORT KNOX GODMAN AAF</t>
  </si>
  <si>
    <t>HENDERSON CITY</t>
  </si>
  <si>
    <t>JACKSON JULIAN CARROLL AP</t>
  </si>
  <si>
    <t>LEXINGTON BLUEGRASS AP</t>
  </si>
  <si>
    <t>LONDON-CORBIN AP</t>
  </si>
  <si>
    <t>LOUISVILLE BOWMAN FIELD</t>
  </si>
  <si>
    <t>LOUISVILLE STANDIFORD FIELD</t>
  </si>
  <si>
    <t>PADUCAH BARKLEY REGIONAL AP</t>
  </si>
  <si>
    <t>SOMERSET(AWOS)</t>
  </si>
  <si>
    <t>ALEXANDRIA ESLER REGIONAL AP</t>
  </si>
  <si>
    <t>BARKSDALE AFB</t>
  </si>
  <si>
    <t>BATON ROUGE RYAN ARPT</t>
  </si>
  <si>
    <t>ENGLAND AFB</t>
  </si>
  <si>
    <t>FORT POLK AAF</t>
  </si>
  <si>
    <t>LAFAYETTE REGIONAL AP</t>
  </si>
  <si>
    <t>LAKE CHARLES REGIONAL ARPT</t>
  </si>
  <si>
    <t>MONROE REGIONAL AP</t>
  </si>
  <si>
    <t>NEW IBERIA NAAS</t>
  </si>
  <si>
    <t>NEW ORLEANS ALVIN CALLENDER F</t>
  </si>
  <si>
    <t>NEW ORLEANS INTL ARPT</t>
  </si>
  <si>
    <t>NEW ORLEANS LAKEFRONT AP</t>
  </si>
  <si>
    <t>PATTERSON MEMORIAL</t>
  </si>
  <si>
    <t>SHREVEPORT DOWNTOWN</t>
  </si>
  <si>
    <t>SHREVEPORT REGIONAL ARPT</t>
  </si>
  <si>
    <t>BARNSTABLE MUNI BOA</t>
  </si>
  <si>
    <t>BEVERLY MUNI</t>
  </si>
  <si>
    <t>BOSTON LOGAN INT ARPT</t>
  </si>
  <si>
    <t>CHICOPEE FALLS WESTO</t>
  </si>
  <si>
    <t>LAWRENCE MUNI</t>
  </si>
  <si>
    <t>MARTHAS VINEYARD</t>
  </si>
  <si>
    <t>NANTUCKET MEMORIAL AP</t>
  </si>
  <si>
    <t>NEW BEDFORD RGNL</t>
  </si>
  <si>
    <t>NORTH ADAMS</t>
  </si>
  <si>
    <t>NORWOOD MEMORIAL</t>
  </si>
  <si>
    <t>OTIS ANGB</t>
  </si>
  <si>
    <t>PLYMOUTH MUNICIPAL</t>
  </si>
  <si>
    <t>PROVINCETOWN (AWOS)</t>
  </si>
  <si>
    <t>WESTFIELD BARNES MUNI AP</t>
  </si>
  <si>
    <t>WORCESTER REGIONAL ARPT</t>
  </si>
  <si>
    <t>WINNIPEG</t>
  </si>
  <si>
    <t>ANDREWS AFB</t>
  </si>
  <si>
    <t>BALTIMORE BLT-WASHNGTN INT</t>
  </si>
  <si>
    <t>HAGERSTOWN RGNL RIC</t>
  </si>
  <si>
    <t>PATUXENT RIVER NAS</t>
  </si>
  <si>
    <t>SALISBURY WICOMICO CO AP</t>
  </si>
  <si>
    <t>AUBURN-LEWISTON</t>
  </si>
  <si>
    <t>AUGUSTA AIRPORT</t>
  </si>
  <si>
    <t>BANGOR INTERNATIONAL AP</t>
  </si>
  <si>
    <t>BAR HARBOR (AWOS)</t>
  </si>
  <si>
    <t>CARIBOU MUNICIPAL ARPT</t>
  </si>
  <si>
    <t>HOULTON INTL ARPT</t>
  </si>
  <si>
    <t>MILLINOCKET MUNICIPAL AP</t>
  </si>
  <si>
    <t>NORTHERN AROOSTOOK</t>
  </si>
  <si>
    <t>PORTLAND INTL JETPORT</t>
  </si>
  <si>
    <t>PRESQUE ISLE MUNICIP</t>
  </si>
  <si>
    <t>ROCKLAND/KNOX(AWOS)</t>
  </si>
  <si>
    <t>SANFORD MUNI (AWOS)</t>
  </si>
  <si>
    <t>WATERVILLE (AWOS)</t>
  </si>
  <si>
    <t>WISCASSET</t>
  </si>
  <si>
    <t>ALPENA COUNTY REGIONAL AP</t>
  </si>
  <si>
    <t>ANN ARBOR MUNICIPAL</t>
  </si>
  <si>
    <t>BATTLE CREEK KELLOGG AP</t>
  </si>
  <si>
    <t>BENTON HARBOR/ROSS</t>
  </si>
  <si>
    <t>CADILLAC WEXFORD CO AP</t>
  </si>
  <si>
    <t>CHIPPEWA CO INTL</t>
  </si>
  <si>
    <t>DETROIT CITY AIRPORT</t>
  </si>
  <si>
    <t>DETROIT METROPOLITAN ARPT</t>
  </si>
  <si>
    <t>DETROIT WILLOW RUN AP</t>
  </si>
  <si>
    <t>ESCANABA (AWOS)</t>
  </si>
  <si>
    <t>FLINT BISHOP INTL ARPT</t>
  </si>
  <si>
    <t>GRAND RAPIDS KENT COUNTY INT</t>
  </si>
  <si>
    <t>HANCOCK HOUGHTON CO AP</t>
  </si>
  <si>
    <t>HOUGHTON LAKE ROSCOMMON CO AR</t>
  </si>
  <si>
    <t>HOWELL</t>
  </si>
  <si>
    <t>IRON MOUNTAIN/FORD</t>
  </si>
  <si>
    <t>IRONWOOD (AWOS)</t>
  </si>
  <si>
    <t>JACKSON REYNOLDS FIELD</t>
  </si>
  <si>
    <t>KALAMAZOO BATTLE CR</t>
  </si>
  <si>
    <t>LANSING CAPITAL CITY ARPT</t>
  </si>
  <si>
    <t>MANISTEE (AWOS)</t>
  </si>
  <si>
    <t>MENOMINEE (AWOS)</t>
  </si>
  <si>
    <t>MOUNT CLEMENS SELFRIDGE FLD</t>
  </si>
  <si>
    <t>MUSKEGON COUNTY ARPT</t>
  </si>
  <si>
    <t>OAKLAND CO INTL</t>
  </si>
  <si>
    <t>OSCODA WURTSMITH AFB</t>
  </si>
  <si>
    <t>PELLSTON EMMET COUNTY AP</t>
  </si>
  <si>
    <t>SAGINAW TRI CITY INTL AP</t>
  </si>
  <si>
    <t>SAULT STE MARIE SANDERSON FIE</t>
  </si>
  <si>
    <t>ST.CLAIR COUNTY INT</t>
  </si>
  <si>
    <t>TRAVERSE CITY CHERRY CAPITAL</t>
  </si>
  <si>
    <t>AITKIN NDB(AWOS)</t>
  </si>
  <si>
    <t>ALBERT LEA (AWOS)</t>
  </si>
  <si>
    <t>ALEXANDRIA MUNICIPAL AP</t>
  </si>
  <si>
    <t>AUSTIN MUNI</t>
  </si>
  <si>
    <t>BAUDETTE INTERNATIONAL AP</t>
  </si>
  <si>
    <t>BEMIDJI MUNICIPAL</t>
  </si>
  <si>
    <t>BENSON MUNI</t>
  </si>
  <si>
    <t>BRAINERD/WIELAND</t>
  </si>
  <si>
    <t>CAMBRIDGE MUNI</t>
  </si>
  <si>
    <t>CLOQUET (AWOS)</t>
  </si>
  <si>
    <t>CRANE LAKE (AWOS)</t>
  </si>
  <si>
    <t>CROOKSTON MUNI FLD</t>
  </si>
  <si>
    <t>DETROIT LAKES(AWOS)</t>
  </si>
  <si>
    <t>DULUTH INTERNATIONAL ARPT</t>
  </si>
  <si>
    <t>ELY MUNI</t>
  </si>
  <si>
    <t>EVELETH MUNI (AWOS)</t>
  </si>
  <si>
    <t>FAIRMONT MUNI(AWOS)</t>
  </si>
  <si>
    <t>FARIBAULT MUNI AWOS</t>
  </si>
  <si>
    <t>FLYING CLOUD</t>
  </si>
  <si>
    <t>FOSSTON(AWOS)</t>
  </si>
  <si>
    <t>GLENWOOD (ASOS)</t>
  </si>
  <si>
    <t>GRAND RAPIDS(AWOS)</t>
  </si>
  <si>
    <t>HALLOCK</t>
  </si>
  <si>
    <t>HIBBING CHISHOLM-HIBBING AP</t>
  </si>
  <si>
    <t>HUTCHINSON (AWOS)</t>
  </si>
  <si>
    <t>INTERNATIONAL FALLS INTL AP</t>
  </si>
  <si>
    <t>LITCHFIELD MUNI</t>
  </si>
  <si>
    <t>LITTLE FALLS (AWOS)</t>
  </si>
  <si>
    <t>MANKATO(AWOS)</t>
  </si>
  <si>
    <t>MINNEAPOLIS-ST PAUL INT ARP</t>
  </si>
  <si>
    <t>MINNEAPOLIS/CRYSTAL</t>
  </si>
  <si>
    <t>MORA MUNI (AWOS)</t>
  </si>
  <si>
    <t>MORRIS MUNI (AWOS)</t>
  </si>
  <si>
    <t>NEW ULM MUNI (AWOS)</t>
  </si>
  <si>
    <t>ORR</t>
  </si>
  <si>
    <t>OWATONNA (AWOS)</t>
  </si>
  <si>
    <t>PARK RAPIDS MUNICIPAL AP</t>
  </si>
  <si>
    <t>PIPESTONE (AWOS)</t>
  </si>
  <si>
    <t>RED WING</t>
  </si>
  <si>
    <t>REDWOOD FALLS MUNI</t>
  </si>
  <si>
    <t>ROCHESTER INTERNATIONAL ARPT</t>
  </si>
  <si>
    <t>ROSEAU MUNI (AWOS)</t>
  </si>
  <si>
    <t>SILVER BAY</t>
  </si>
  <si>
    <t>SOUTH ST PAUL MUNI</t>
  </si>
  <si>
    <t>ST CLOUD REGIONAL ARPT</t>
  </si>
  <si>
    <t>ST PAUL DOWNTOWN AP</t>
  </si>
  <si>
    <t>THIEF RIVER(AWOS)</t>
  </si>
  <si>
    <t>WHEATON NDB (AWOS)</t>
  </si>
  <si>
    <t>WILLMAR</t>
  </si>
  <si>
    <t>WINONA MUNI (AWOS)</t>
  </si>
  <si>
    <t>WORTHINGTON (AWOS)</t>
  </si>
  <si>
    <t>CAPE GIRARDEAU MUNICIPAL AP</t>
  </si>
  <si>
    <t>COLUMBIA REGIONAL AIRPORT</t>
  </si>
  <si>
    <t>FARMINGTON</t>
  </si>
  <si>
    <t>JEFFERSON CITY MEM</t>
  </si>
  <si>
    <t>JOPLIN MUNICIPAL AP</t>
  </si>
  <si>
    <t>KAISER MEM (AWOS)</t>
  </si>
  <si>
    <t>KANSAS CITY DOWNTOWN AP</t>
  </si>
  <si>
    <t>KANSAS CITY INT ARPT</t>
  </si>
  <si>
    <t>KIRKSVILLE REGIONAL AP</t>
  </si>
  <si>
    <t>POPLAR BLUFF(AMOS)</t>
  </si>
  <si>
    <t>SPRINGFIELD REGIONAL ARPT</t>
  </si>
  <si>
    <t>ST JOSEPH ROSECRANS MEMORIAL</t>
  </si>
  <si>
    <t>ST LOUIS LAMBERT INT ARPT</t>
  </si>
  <si>
    <t>ST LOUIS SPIRIT OF ST LOUIS A</t>
  </si>
  <si>
    <t>VICHY ROLLA NATL ARPT</t>
  </si>
  <si>
    <t>WHITEMAN AFB</t>
  </si>
  <si>
    <t>COLUMBUS AFB</t>
  </si>
  <si>
    <t>GOLDEN TRI(AWOS)</t>
  </si>
  <si>
    <t>GREENWOOD LEFLORE ARPT</t>
  </si>
  <si>
    <t>GULFPORT BILOXI INT</t>
  </si>
  <si>
    <t>HATTIESBURG LAUREL</t>
  </si>
  <si>
    <t>JACKSON INTERNATIONAL AP</t>
  </si>
  <si>
    <t>KEESLER AFB</t>
  </si>
  <si>
    <t>MCCOMB PIKE COUNTY AP</t>
  </si>
  <si>
    <t>MERIDIAN KEY FIELD</t>
  </si>
  <si>
    <t>MERIDIAN NAAS</t>
  </si>
  <si>
    <t>NATCHEZ/HARDY(AWOS)</t>
  </si>
  <si>
    <t>TUPELO C D LEMONS ARPT</t>
  </si>
  <si>
    <t>BILLINGS LOGAN INT ARPT</t>
  </si>
  <si>
    <t>BOZEMAN GALLATIN FIELD</t>
  </si>
  <si>
    <t>BUTTE BERT MOONEY ARPT</t>
  </si>
  <si>
    <t>CUT BANK MUNI AP</t>
  </si>
  <si>
    <t>GLASGOW INTL ARPT</t>
  </si>
  <si>
    <t>GLENDIVE(AWOS)</t>
  </si>
  <si>
    <t>GREAT FALLS INTL ARPT</t>
  </si>
  <si>
    <t>HAVRE CITY-COUNTY AP</t>
  </si>
  <si>
    <t>HELENA REGIONAL AIRPORT</t>
  </si>
  <si>
    <t>KALISPELL GLACIER PK INT AR</t>
  </si>
  <si>
    <t>LEWISTOWN MUNICIPAL ARPT</t>
  </si>
  <si>
    <t>LIVINGSTON MISSION FIELD</t>
  </si>
  <si>
    <t>MILES CITY MUNICIPAL ARPT</t>
  </si>
  <si>
    <t>MISSOULA INTERNATIONAL AP</t>
  </si>
  <si>
    <t>SIDNEY-RICHLAND</t>
  </si>
  <si>
    <t>WOLF POINT INTL [FORT PECK - SURFRAD]</t>
  </si>
  <si>
    <t>FREDERICTON</t>
  </si>
  <si>
    <t>MONCTON AP</t>
  </si>
  <si>
    <t>ASHEVILLE REGIONAL ARPT</t>
  </si>
  <si>
    <t>CAPE HATTERAS NWS BLDG</t>
  </si>
  <si>
    <t>CHARLOTTE DOUGLAS INTL ARPT</t>
  </si>
  <si>
    <t>CHERRY POINT MCAS</t>
  </si>
  <si>
    <t>DARE CO RGNL</t>
  </si>
  <si>
    <t>ELIZABETH CITY COAST GUARD AI [NREL]</t>
  </si>
  <si>
    <t>FAYETTEVILLE POPE AFB</t>
  </si>
  <si>
    <t>FAYETTEVILLE RGNL G</t>
  </si>
  <si>
    <t>FORT BRAGG SIMMONS AAF</t>
  </si>
  <si>
    <t>GOLDSBORO SEYMOUR JOHNSON AFB</t>
  </si>
  <si>
    <t>GREENSBORO PIEDMONT TRIAD INT</t>
  </si>
  <si>
    <t>HICKORY REGIONAL AP</t>
  </si>
  <si>
    <t>JACKSONVILLE (AWOS)</t>
  </si>
  <si>
    <t>NEW BERN CRAVEN CO REGL AP</t>
  </si>
  <si>
    <t>NEW RIVER MCAF</t>
  </si>
  <si>
    <t>PITT GREENVILLE ARP</t>
  </si>
  <si>
    <t>RALEIGH DURHAM INTERNATIONAL</t>
  </si>
  <si>
    <t>ROCKY MOUNT WILSON</t>
  </si>
  <si>
    <t>SOUTHERN PINES AWOS</t>
  </si>
  <si>
    <t>WILMINGTON INTERNATIONAL ARPT</t>
  </si>
  <si>
    <t>WINSTON-SALEM REYNOLDS AP</t>
  </si>
  <si>
    <t>BISMARCK MUNICIPAL ARPT [ISIS]</t>
  </si>
  <si>
    <t>DEVILS LAKE(AWOS)</t>
  </si>
  <si>
    <t>DICKINSON MUNICIPAL AP</t>
  </si>
  <si>
    <t>FARGO HECTOR INTERNATIONAL AP</t>
  </si>
  <si>
    <t>GRAND FORKS AF</t>
  </si>
  <si>
    <t>GRAND FORKS INTERNATIONAL AP</t>
  </si>
  <si>
    <t>JAMESTOWN MUNICIPAL ARPT</t>
  </si>
  <si>
    <t>MINOT AFB</t>
  </si>
  <si>
    <t>MINOT FAA AP</t>
  </si>
  <si>
    <t>WILLISTON SLOULIN INTL AP</t>
  </si>
  <si>
    <t>AINSWORTH MUNICIPAL</t>
  </si>
  <si>
    <t>ALLIANCE MUNICIPAL</t>
  </si>
  <si>
    <t>BEATRICE MUNICIPAL</t>
  </si>
  <si>
    <t>BELLEVUE OFFUTT AFB</t>
  </si>
  <si>
    <t>BREWSTER FIELD ARPT</t>
  </si>
  <si>
    <t>BROKEN BOW MUNI</t>
  </si>
  <si>
    <t>COLUMBUS MUNI</t>
  </si>
  <si>
    <t>FALLS CITY/BRENNER</t>
  </si>
  <si>
    <t>FREMONT MUNI ARPT</t>
  </si>
  <si>
    <t>GRAND ISLAND CENTRAL NE REGIO</t>
  </si>
  <si>
    <t>HASTINGS MUNICIPAL</t>
  </si>
  <si>
    <t>KEARNEY MUNI (AWOS)</t>
  </si>
  <si>
    <t>LINCOLN MUNICIPAL ARPT</t>
  </si>
  <si>
    <t>MCCOOK MUNICIPAL</t>
  </si>
  <si>
    <t>NORFOLK KARL STEFAN MEM ARPT</t>
  </si>
  <si>
    <t>NORTH PLATTE REGIONAL AP</t>
  </si>
  <si>
    <t>OMAHA EPPLEY AIRFIELD</t>
  </si>
  <si>
    <t>OMAHA WSFO</t>
  </si>
  <si>
    <t>SCOTTSBLUFF W B HEILIG FIELD</t>
  </si>
  <si>
    <t>SIDNEY MUNICIPAL AP</t>
  </si>
  <si>
    <t>TEKAMAH (ASOS)</t>
  </si>
  <si>
    <t>VALENTINE MILLER FIELD</t>
  </si>
  <si>
    <t>ST JOHNS</t>
  </si>
  <si>
    <t>BERLIN MUNICIPAL</t>
  </si>
  <si>
    <t>CONCORD MUNICIPAL ARPT</t>
  </si>
  <si>
    <t>DILLANT HOPKINS</t>
  </si>
  <si>
    <t>LACONIA MUNI (AWOS)</t>
  </si>
  <si>
    <t>LEBANON MUNICIPAL</t>
  </si>
  <si>
    <t>MANCHESTER AIRPORT</t>
  </si>
  <si>
    <t>MOUNT WASHINGTON</t>
  </si>
  <si>
    <t>PEASE INTL TRADEPOR</t>
  </si>
  <si>
    <t>ATLANTIC CITY INTL AP</t>
  </si>
  <si>
    <t>BELMAR ASC</t>
  </si>
  <si>
    <t>CALDWELL/ESSEX CO.</t>
  </si>
  <si>
    <t>CAPE MAY CO</t>
  </si>
  <si>
    <t>MCGUIRE AFB</t>
  </si>
  <si>
    <t>MILLVILLE MUNICIPAL AP</t>
  </si>
  <si>
    <t>NEWARK INTERNATIONAL ARPT</t>
  </si>
  <si>
    <t>TETERBORO AIRPORT</t>
  </si>
  <si>
    <t>TRENTON MERCER COUNTY AP</t>
  </si>
  <si>
    <t>ALBUQUERQUE INTL ARPT [ISIS]</t>
  </si>
  <si>
    <t>CARLSBAD CAVERN CITY AIR TERM</t>
  </si>
  <si>
    <t>CLAYTON MUNICIPAL AIRPARK</t>
  </si>
  <si>
    <t>CLOVIS CANNON AFB</t>
  </si>
  <si>
    <t>CLOVIS MUNI (AWOS)</t>
  </si>
  <si>
    <t>DEMING MUNI</t>
  </si>
  <si>
    <t>FARMINGTON FOUR CORNERS REGL</t>
  </si>
  <si>
    <t>GALLUP SEN CLARKE FLD</t>
  </si>
  <si>
    <t>HOLLOMAN AFB</t>
  </si>
  <si>
    <t>LAS VEGAS MUNICIPAL ARPT</t>
  </si>
  <si>
    <t>ROSWELL INDUSTRIAL AIR PARK</t>
  </si>
  <si>
    <t>SANTA FE COUNTY MUNICIPAL AP</t>
  </si>
  <si>
    <t>SIERRA BLANCA RGNL</t>
  </si>
  <si>
    <t>TAOS MUNI APT(AWOS)</t>
  </si>
  <si>
    <t>TRUTH OR CONSEQUENCES MUNI AP</t>
  </si>
  <si>
    <t>GREENWOOD AP</t>
  </si>
  <si>
    <t>HALIFAX</t>
  </si>
  <si>
    <t>SHEARWATER</t>
  </si>
  <si>
    <t>SYDNEY AP</t>
  </si>
  <si>
    <t>YELLOWKNIFE AP</t>
  </si>
  <si>
    <t>IQALUIT</t>
  </si>
  <si>
    <t>ELKO MUNICIPAL ARPT</t>
  </si>
  <si>
    <t>ELY YELLAND FIELD</t>
  </si>
  <si>
    <t>FALLON NAAS</t>
  </si>
  <si>
    <t>LAS VEGAS MCCARRAN INTL AP</t>
  </si>
  <si>
    <t>LOVELOCK DERBY FIELD</t>
  </si>
  <si>
    <t>MERCURY DESERT ROCK AP [SURFRAD]</t>
  </si>
  <si>
    <t>NELLIS AFB</t>
  </si>
  <si>
    <t>RENO TAHOE INTERNATIONAL AP</t>
  </si>
  <si>
    <t>TONOPAH AIRPORT</t>
  </si>
  <si>
    <t>WINNEMUCCA MUNICIPAL ARPT</t>
  </si>
  <si>
    <t>ADIRONDACK RGNL</t>
  </si>
  <si>
    <t>ALBANY COUNTY AP</t>
  </si>
  <si>
    <t>BINGHAMTON EDWIN A LINK FIELD</t>
  </si>
  <si>
    <t>BUFFALO NIAGARA INTL AP</t>
  </si>
  <si>
    <t>ELMIRA CORNING REGIONAL AP</t>
  </si>
  <si>
    <t>FORT DRUM/WHEELER-S</t>
  </si>
  <si>
    <t>GLENS FALLS AP</t>
  </si>
  <si>
    <t>ISLIP LONG ISL MACARTHUR AP</t>
  </si>
  <si>
    <t>JAMESTOWN (AWOS)</t>
  </si>
  <si>
    <t>MASSENA AP</t>
  </si>
  <si>
    <t>MONTICELLO(AWOS)</t>
  </si>
  <si>
    <t>NEW YORK CENTRAL PRK OBS BELV</t>
  </si>
  <si>
    <t>NEW YORK J F KENNEDY INT AR</t>
  </si>
  <si>
    <t>NEW YORK LAGUARDIA ARPT</t>
  </si>
  <si>
    <t>NIAGARA FALLS AF</t>
  </si>
  <si>
    <t>POUGHKEEPSIE DUTCHESS CO AP</t>
  </si>
  <si>
    <t>REPUBLIC</t>
  </si>
  <si>
    <t>ROCHESTER GREATER ROCHESTER I</t>
  </si>
  <si>
    <t>STEWART FIELD</t>
  </si>
  <si>
    <t>SYRACUSE HANCOCK INT ARPT</t>
  </si>
  <si>
    <t>UTICA ONEIDA COUNTY AP</t>
  </si>
  <si>
    <t>WATERTOWN AP</t>
  </si>
  <si>
    <t>WESTHAMPTON GABRESKI AP</t>
  </si>
  <si>
    <t>WHITE PLAINS WESTCHESTER CO A</t>
  </si>
  <si>
    <t>AKRON AKRON-CANTON REG AP</t>
  </si>
  <si>
    <t>BURKE LAKEFRONT</t>
  </si>
  <si>
    <t>CINCINNATI MUNICIPAL AP LUNKI</t>
  </si>
  <si>
    <t>CLEVELAND HOPKINS INTL AP</t>
  </si>
  <si>
    <t>COLUMBUS PORT COLUMBUS INTL A</t>
  </si>
  <si>
    <t>DAYTON INTERNATIONAL AIRPORT</t>
  </si>
  <si>
    <t>FINDLAY AIRPORT</t>
  </si>
  <si>
    <t>MANSFIELD LAHM MUNICIPAL ARPT</t>
  </si>
  <si>
    <t>OHIO STATE UNIVERSI</t>
  </si>
  <si>
    <t>TOLEDO EXPRESS AIRPORT</t>
  </si>
  <si>
    <t>YOUNGSTOWN REGIONAL AIRPORT</t>
  </si>
  <si>
    <t>ZANESVILLE MUNICIPAL AP</t>
  </si>
  <si>
    <t>ALTUS AFB</t>
  </si>
  <si>
    <t>CLINTON-SHERMAN</t>
  </si>
  <si>
    <t>FORT SILL POST FIELD AF</t>
  </si>
  <si>
    <t>GAGE AIRPORT</t>
  </si>
  <si>
    <t>HOBART MUNICIPAL AP</t>
  </si>
  <si>
    <t>LAWTON MUNICIPAL</t>
  </si>
  <si>
    <t>MCALESTER MUNICIPAL AP</t>
  </si>
  <si>
    <t>OKLAHOMA CITY TINKER AFB</t>
  </si>
  <si>
    <t>OKLAHOMA CITY WILL ROGERS WOR</t>
  </si>
  <si>
    <t>OKLAHOMA CITY/WILEY</t>
  </si>
  <si>
    <t>PONCA CITY MUNICIPAL AP [SGP - ARM]</t>
  </si>
  <si>
    <t>STILLWATER RGNL</t>
  </si>
  <si>
    <t>TULSA INTERNATIONAL AIRPORT</t>
  </si>
  <si>
    <t>VANCE AFB</t>
  </si>
  <si>
    <t>BEAUSOLEIL</t>
  </si>
  <si>
    <t>BURLINGTON PIERS</t>
  </si>
  <si>
    <t>ERIEAU</t>
  </si>
  <si>
    <t>LAGOON CITY</t>
  </si>
  <si>
    <t>LONDON AP</t>
  </si>
  <si>
    <t>NORTH BAY AP</t>
  </si>
  <si>
    <t>OTTAWA</t>
  </si>
  <si>
    <t>PETERBOROUGH AP</t>
  </si>
  <si>
    <t>PORT WELLER</t>
  </si>
  <si>
    <t>SAULT STE MARIE</t>
  </si>
  <si>
    <t>SUDBURY AP</t>
  </si>
  <si>
    <t>THUNDER BAY AP</t>
  </si>
  <si>
    <t>TIMMINS AP</t>
  </si>
  <si>
    <t>TORONTO AP</t>
  </si>
  <si>
    <t>TORONTO ISLAND AP</t>
  </si>
  <si>
    <t>TORONTO</t>
  </si>
  <si>
    <t>TRENTON AP</t>
  </si>
  <si>
    <t>WINDSOR</t>
  </si>
  <si>
    <t>ASTORIA REGIONAL AIRPORT</t>
  </si>
  <si>
    <t>AURORA STATE</t>
  </si>
  <si>
    <t>BAKER MUNICIPAL AP</t>
  </si>
  <si>
    <t>BURNS MUNICIPAL ARPT [UO]</t>
  </si>
  <si>
    <t>CORVALLIS MUNI</t>
  </si>
  <si>
    <t>EUGENE MAHLON SWEET ARPT [UO]</t>
  </si>
  <si>
    <t>KLAMATH FALLS INTL AP [UO]</t>
  </si>
  <si>
    <t>LA GRANDE MUNI AP</t>
  </si>
  <si>
    <t>LAKEVIEW (AWOS)</t>
  </si>
  <si>
    <t>MEDFORD ROGUE VALLEY INTL AP [ASHLAND - UO]</t>
  </si>
  <si>
    <t>NORTH BEND MUNI AIRPORT</t>
  </si>
  <si>
    <t>PENDLETON E OR REGIONAL AP</t>
  </si>
  <si>
    <t>PORTLAND INTERNATIONAL AP</t>
  </si>
  <si>
    <t>PORTLAND/HILLSBORO</t>
  </si>
  <si>
    <t>PORTLAND/TROUTDALE</t>
  </si>
  <si>
    <t>REDMOND ROBERTS FIELD</t>
  </si>
  <si>
    <t>ROSEBURG REGIONAL AP</t>
  </si>
  <si>
    <t>SALEM MCNARY FIELD</t>
  </si>
  <si>
    <t>SEXTON SUMMIT</t>
  </si>
  <si>
    <t>ALLENTOWN LEHIGH VALLEY INTL</t>
  </si>
  <si>
    <t>ALTOONA BLAIR CO ARPT</t>
  </si>
  <si>
    <t>BRADFORD REGIONAL AP</t>
  </si>
  <si>
    <t>BUTLER CO (AWOS)</t>
  </si>
  <si>
    <t>DUBOIS FAA AP</t>
  </si>
  <si>
    <t>ERIE INTERNATIONAL AP</t>
  </si>
  <si>
    <t>FRANKLIN</t>
  </si>
  <si>
    <t>HARRISBURG CAPITAL CITY ARPT</t>
  </si>
  <si>
    <t>JOHNSTOWN CAMBRIA COUNTY AP</t>
  </si>
  <si>
    <t>LANCASTER</t>
  </si>
  <si>
    <t>MIDDLETOWN HARRISBURG INTL AP</t>
  </si>
  <si>
    <t>PHILADELPHIA INTERNATIONAL AP</t>
  </si>
  <si>
    <t>PHILADELPHIA NE PHILADELPHIA</t>
  </si>
  <si>
    <t>PITTSBURGH ALLEGHENY CO AP</t>
  </si>
  <si>
    <t>PITTSBURGH INTERNATIONAL AP</t>
  </si>
  <si>
    <t>READING SPAATZ FIELD</t>
  </si>
  <si>
    <t>STATE COLLEGE [PENN STATE - SURFRAD]</t>
  </si>
  <si>
    <t>WASHINGTON (AWOS)</t>
  </si>
  <si>
    <t>WILKES-BARRE SCRANTON INTL AP</t>
  </si>
  <si>
    <t>WILLIAMSPORT REGIONAL AP</t>
  </si>
  <si>
    <t>WILLOW GROVE NAS</t>
  </si>
  <si>
    <t>CHARLOTTETOWN</t>
  </si>
  <si>
    <t>JONQUIERE</t>
  </si>
  <si>
    <t>LA BAIE</t>
  </si>
  <si>
    <t>LACADIE</t>
  </si>
  <si>
    <t>LASSOMPTION</t>
  </si>
  <si>
    <t>LENNOXVILLE</t>
  </si>
  <si>
    <t>MC TAVISH</t>
  </si>
  <si>
    <t>MONT JOLI AB</t>
  </si>
  <si>
    <t>MONT-ORFORD</t>
  </si>
  <si>
    <t>MONTREAL</t>
  </si>
  <si>
    <t>MONTREAL-MIRABEL</t>
  </si>
  <si>
    <t>NICOLET</t>
  </si>
  <si>
    <t>POINT-AU-PERE</t>
  </si>
  <si>
    <t>QUEBEC AP</t>
  </si>
  <si>
    <t>SHERBROOKE AP</t>
  </si>
  <si>
    <t>ST ANICET</t>
  </si>
  <si>
    <t>STE ANNE DE BELLEVUE</t>
  </si>
  <si>
    <t>STE FOY</t>
  </si>
  <si>
    <t>TROIS RIVIERES</t>
  </si>
  <si>
    <t>VARENNES</t>
  </si>
  <si>
    <t>BLOCK ISLAND STATE ARPT</t>
  </si>
  <si>
    <t>PAWTUCKET (AWOS)</t>
  </si>
  <si>
    <t>PROVIDENCE T F GREEN STATE AR</t>
  </si>
  <si>
    <t>RIYADH</t>
  </si>
  <si>
    <t>ANDERSON COUNTY AP</t>
  </si>
  <si>
    <t>BEAUFORT MCAS</t>
  </si>
  <si>
    <t>CHARLESTON INTL ARPT</t>
  </si>
  <si>
    <t>COLUMBIA METRO ARPT</t>
  </si>
  <si>
    <t>FLORENCE REGIONAL AP</t>
  </si>
  <si>
    <t>GREENVILLE DOWNTOWN AP</t>
  </si>
  <si>
    <t>GREER GREENV-SPARTANBRG AP</t>
  </si>
  <si>
    <t>MYRTLE BEACH AFB</t>
  </si>
  <si>
    <t>SUMTER SHAW AFB</t>
  </si>
  <si>
    <t>ABERDEEN REGIONAL ARPT</t>
  </si>
  <si>
    <t>BROOKINGS (AWOS)</t>
  </si>
  <si>
    <t>CHAN GURNEY MUNI</t>
  </si>
  <si>
    <t>ELLSWORTH AFB</t>
  </si>
  <si>
    <t>HURON REGIONAL ARPT</t>
  </si>
  <si>
    <t>MITCHELL (AWOS)</t>
  </si>
  <si>
    <t>MOBRIDGE</t>
  </si>
  <si>
    <t>PIERRE MUNICIPAL AP</t>
  </si>
  <si>
    <t>RAPID CITY REGIONAL ARPT</t>
  </si>
  <si>
    <t>SIOUX FALLS FOSS FIELD</t>
  </si>
  <si>
    <t>WATERTOWN MUNICIPAL AP</t>
  </si>
  <si>
    <t>MOOSE JAW AP</t>
  </si>
  <si>
    <t>PRINCE ALBERT AP</t>
  </si>
  <si>
    <t>REGINA</t>
  </si>
  <si>
    <t>SASKATOON</t>
  </si>
  <si>
    <t>BRISTOL TRI CITY AIRPORT</t>
  </si>
  <si>
    <t>CHATTANOOGA LOVELL FIELD AP</t>
  </si>
  <si>
    <t>CROSSVILLE MEMORIAL AP</t>
  </si>
  <si>
    <t>DYERSBURG MUNICIPAL AP</t>
  </si>
  <si>
    <t>JACKSON MCKELLAR-SIPES REGL A</t>
  </si>
  <si>
    <t>KNOXVILLE MCGHEE TYSON AP</t>
  </si>
  <si>
    <t>MEMPHIS INTERNATIONAL AP</t>
  </si>
  <si>
    <t>NASHVILLE INTERNATIONAL AP</t>
  </si>
  <si>
    <t>ABILENE DYESS AFB</t>
  </si>
  <si>
    <t>ABILENE REGIONAL AP [UT]</t>
  </si>
  <si>
    <t>ALICE INTL AP</t>
  </si>
  <si>
    <t>AMARILLO INTERNATIONAL AP [CANYON - UT]</t>
  </si>
  <si>
    <t>AUSTIN MUELLER MUNICIPAL AP [UT]</t>
  </si>
  <si>
    <t>BROWNSVILLE S PADRE ISL INTL</t>
  </si>
  <si>
    <t>CHILDRESS MUNICIPAL AP</t>
  </si>
  <si>
    <t>COLLEGE STATION EASTERWOOD FL</t>
  </si>
  <si>
    <t>CORPUS CHRISTI INTL ARPT [UT]</t>
  </si>
  <si>
    <t>CORPUS CHRISTI NAS</t>
  </si>
  <si>
    <t>COTULLA FAA AP</t>
  </si>
  <si>
    <t>COX FLD</t>
  </si>
  <si>
    <t>DALHART MUNICIPAL AP</t>
  </si>
  <si>
    <t>DALLAS-FORT WORTH INTL AP</t>
  </si>
  <si>
    <t>DEL RIO [UT]</t>
  </si>
  <si>
    <t>DEL RIO LAUGHLIN AFB</t>
  </si>
  <si>
    <t>DRAUGHON MILLER CEN</t>
  </si>
  <si>
    <t>EL PASO INTERNATIONAL AP [UT]</t>
  </si>
  <si>
    <t>FORT HOOD</t>
  </si>
  <si>
    <t>FORT WORTH ALLIANCE</t>
  </si>
  <si>
    <t>FORT WORTH MEACHAM</t>
  </si>
  <si>
    <t>FORT WORTH NAS</t>
  </si>
  <si>
    <t>GALVESTON/SCHOLES</t>
  </si>
  <si>
    <t>GEORGETOWN (AWOS)</t>
  </si>
  <si>
    <t>HARLINGEN RIO GRANDE VALLEY I</t>
  </si>
  <si>
    <t>HONDO MUNICIPAL AP</t>
  </si>
  <si>
    <t>HOUSTON BUSH INTERCONTINENTAL</t>
  </si>
  <si>
    <t>HOUSTON ELLINGTON AFB [CLEAR LAKE - UT]</t>
  </si>
  <si>
    <t>HOUSTON WILLIAM P HOBBY AP</t>
  </si>
  <si>
    <t>HOUSTON/D.W. HOOKS</t>
  </si>
  <si>
    <t>KINGSVILLE</t>
  </si>
  <si>
    <t>LAREDO INTL AP [UT]</t>
  </si>
  <si>
    <t>LONGVIEW GREGG COUNTY AP [OVERTON - UT]</t>
  </si>
  <si>
    <t>LUBBOCK INTERNATIONAL AP</t>
  </si>
  <si>
    <t>LUFKIN ANGELINA CO</t>
  </si>
  <si>
    <t>MARFA AP</t>
  </si>
  <si>
    <t>MCALLEN MILLER INTL AP [EDINBURG - UT]</t>
  </si>
  <si>
    <t>MIDLAND INTERNATIONAL AP</t>
  </si>
  <si>
    <t>MINERAL WELLS MUNICIPAL AP</t>
  </si>
  <si>
    <t>NACOGDOCHES (AWOS)</t>
  </si>
  <si>
    <t>PALACIOS MUNICIPAL AP</t>
  </si>
  <si>
    <t>PORT ARTHUR JEFFERSON COUNTY</t>
  </si>
  <si>
    <t>RANDOLPH AFB</t>
  </si>
  <si>
    <t>ROCKPORT/ARANSAS CO</t>
  </si>
  <si>
    <t>SAN ANGELO MATHIS FIELD</t>
  </si>
  <si>
    <t>SAN ANTONIO INTL AP</t>
  </si>
  <si>
    <t>SAN ANTONIO KELLY FIELD AFB</t>
  </si>
  <si>
    <t>SAN ANTONIO/STINSON</t>
  </si>
  <si>
    <t>TYLER/POUNDS FLD</t>
  </si>
  <si>
    <t>VICTORIA REGIONAL AP</t>
  </si>
  <si>
    <t>WACO REGIONAL AP</t>
  </si>
  <si>
    <t>WICHITA FALLS MUNICIPAL ARPT</t>
  </si>
  <si>
    <t>WINK WINKLER COUNTY AP</t>
  </si>
  <si>
    <t>CEDAR CITY MUNICIPAL AP</t>
  </si>
  <si>
    <t>MOAB/CANYONLANDS [UO]</t>
  </si>
  <si>
    <t>OGDEN HILL AFB</t>
  </si>
  <si>
    <t>OGDEN HINKLEY AIRPORT</t>
  </si>
  <si>
    <t>PROVO MUNI (AWOS)</t>
  </si>
  <si>
    <t>SAINT GEORGE (AWOS)</t>
  </si>
  <si>
    <t>SALT LAKE CITY INT ARPT [ISIS]</t>
  </si>
  <si>
    <t>VERNAL</t>
  </si>
  <si>
    <t>WENDOVER USAF AUXILIARY FIELD</t>
  </si>
  <si>
    <t>ABINGDON</t>
  </si>
  <si>
    <t>CHARLOTTESVILLE FAA</t>
  </si>
  <si>
    <t>DANVILLE FAA AP</t>
  </si>
  <si>
    <t>DAVISON AAF</t>
  </si>
  <si>
    <t>FARMVILLE</t>
  </si>
  <si>
    <t>FRANKLIN NAAS</t>
  </si>
  <si>
    <t>HILLSVILLE</t>
  </si>
  <si>
    <t>HOT SPRINGS/INGALLS</t>
  </si>
  <si>
    <t>LANGLEY AFB</t>
  </si>
  <si>
    <t>LEESBURG/GODFREY</t>
  </si>
  <si>
    <t>LYNCHBURG REGIONAL ARPT</t>
  </si>
  <si>
    <t>MANASSAS MUNI(AWOS)</t>
  </si>
  <si>
    <t>MARION / WYTHEVILLE</t>
  </si>
  <si>
    <t>MARTINSVILLE</t>
  </si>
  <si>
    <t>MELFA/ACCOMACK ARPT</t>
  </si>
  <si>
    <t>NEWPORT NEWS</t>
  </si>
  <si>
    <t>NORFOLK INTERNATIONAL AP</t>
  </si>
  <si>
    <t>NORFOLK NAS</t>
  </si>
  <si>
    <t>OCEANA NAS</t>
  </si>
  <si>
    <t>QUANTICO MCAS</t>
  </si>
  <si>
    <t>RICHMOND INTERNATIONAL AP</t>
  </si>
  <si>
    <t>ROANOKE REGIONAL AP</t>
  </si>
  <si>
    <t>SHANNON ARPT</t>
  </si>
  <si>
    <t>STAUNTON/SHENANDOAH</t>
  </si>
  <si>
    <t>VIRGINIA TECH ARPT</t>
  </si>
  <si>
    <t>WASHINGTON DC DULLES INT AR [STERLING - ISIS]</t>
  </si>
  <si>
    <t>WASHINGTON DC REAGAN AP</t>
  </si>
  <si>
    <t>WINCHESTER RGNL</t>
  </si>
  <si>
    <t>WISE/LONESOME PINE</t>
  </si>
  <si>
    <t>BURLINGTON INTERNATIONAL AP</t>
  </si>
  <si>
    <t>HO CHI MIHN</t>
  </si>
  <si>
    <t>MONTPELIER AP</t>
  </si>
  <si>
    <t>RUTLAND STATE</t>
  </si>
  <si>
    <t>SPRINGFIELD/HARTNES</t>
  </si>
  <si>
    <t>BELLINGHAM INTL AP</t>
  </si>
  <si>
    <t>BREMERTON NATIONAL</t>
  </si>
  <si>
    <t>EPHRATA AP FCWOS</t>
  </si>
  <si>
    <t>FAIRCHILD AFB</t>
  </si>
  <si>
    <t>FELTS FLD</t>
  </si>
  <si>
    <t>GRAY AAF</t>
  </si>
  <si>
    <t>HANFORD</t>
  </si>
  <si>
    <t>HOQUIAM AP</t>
  </si>
  <si>
    <t>KELSO WB AP</t>
  </si>
  <si>
    <t>MOSES LAKE GRANT COUNTY AP</t>
  </si>
  <si>
    <t>OLYMPIA AIRPORT</t>
  </si>
  <si>
    <t>PASCO</t>
  </si>
  <si>
    <t>PULLMAN/MOSCOW RGNL</t>
  </si>
  <si>
    <t>QUILLAYUTE STATE AIRPORT</t>
  </si>
  <si>
    <t>RENTON MUNI</t>
  </si>
  <si>
    <t>SEATTLE BOEING FIELD [ISIS]</t>
  </si>
  <si>
    <t>SEATTLE SEATTLE-TACOMA INTL A</t>
  </si>
  <si>
    <t>SNOHOMISH CO</t>
  </si>
  <si>
    <t>SPOKANE INTERNATIONAL AP [CHENEY - UO]</t>
  </si>
  <si>
    <t>STAMPEDE PASS</t>
  </si>
  <si>
    <t>TACOMA MCCHORD AFB</t>
  </si>
  <si>
    <t>TACOMA NARROWS</t>
  </si>
  <si>
    <t>THE DALLES MUNICIPAL ARPT</t>
  </si>
  <si>
    <t>WALLA WALLA CITY COUNTY AP</t>
  </si>
  <si>
    <t>WENATCHEE/PANGBORN</t>
  </si>
  <si>
    <t>WHIDBEY ISLAND NAS</t>
  </si>
  <si>
    <t>WILLIAM R FAIRCHILD</t>
  </si>
  <si>
    <t>YAKIMA AIR TERMINAL</t>
  </si>
  <si>
    <t>APPLETON/OUTAGAMIE</t>
  </si>
  <si>
    <t>EAU CLAIRE COUNTY AP</t>
  </si>
  <si>
    <t>GREEN BAY AUSTIN STRAUBEL INT</t>
  </si>
  <si>
    <t>JANESVILLE/ROCK CO.</t>
  </si>
  <si>
    <t>LA CROSSE MUNICIPAL ARPT</t>
  </si>
  <si>
    <t>LONE ROCK FAA AP</t>
  </si>
  <si>
    <t>MADISON DANE CO REGIONAL ARPT [ISIS]</t>
  </si>
  <si>
    <t>MANITOWOC MUNI AWOS</t>
  </si>
  <si>
    <t>MARSHFIELD MUNI</t>
  </si>
  <si>
    <t>MILWAUKEE MITCHELL INTL AP</t>
  </si>
  <si>
    <t>MINOCQUA/WOODRUFF</t>
  </si>
  <si>
    <t>MOSINEE/CENTRAL WI</t>
  </si>
  <si>
    <t>PHILLIPS/PRICE CO.</t>
  </si>
  <si>
    <t>RHINELANDER ONEIDA</t>
  </si>
  <si>
    <t>RICE LAKE MUNICIPAL</t>
  </si>
  <si>
    <t>STURGEON BAY</t>
  </si>
  <si>
    <t>WATERTOWN</t>
  </si>
  <si>
    <t>WAUSAU MUNICIPAL ARPT</t>
  </si>
  <si>
    <t>WITTMAN RGNL</t>
  </si>
  <si>
    <t>BECKLEY RALEIGH CO MEM AP</t>
  </si>
  <si>
    <t>BLUEFIELD/MERCER CO [NREL]</t>
  </si>
  <si>
    <t>CHARLESTON YEAGER ARPT</t>
  </si>
  <si>
    <t>ELKINS ELKINS-RANDOLPH CO ARP</t>
  </si>
  <si>
    <t>HARRISON MARION RGN</t>
  </si>
  <si>
    <t>HUNTINGTON TRI-STATE ARPT</t>
  </si>
  <si>
    <t>LEWISBURG/GREENBRIE</t>
  </si>
  <si>
    <t>MARTINSBURG EASTERN WV REG AP</t>
  </si>
  <si>
    <t>MORGANTOWN HART FIELD</t>
  </si>
  <si>
    <t>PARKERSBURG WOOD COUNTY AP</t>
  </si>
  <si>
    <t>WHEELING OHIO COUNTY AP</t>
  </si>
  <si>
    <t>CASPER NATRONA CO INTL AP</t>
  </si>
  <si>
    <t>CHEYENNE MUNICIPAL ARPT</t>
  </si>
  <si>
    <t>CODY MUNI (AWOS)</t>
  </si>
  <si>
    <t>GILLETTE/GILLETTE-C</t>
  </si>
  <si>
    <t>JACKSON HOLE</t>
  </si>
  <si>
    <t>LANDER HUNT FIELD</t>
  </si>
  <si>
    <t>LARAMIE GENERAL BREES FIELD</t>
  </si>
  <si>
    <t>RAWLINS MUNICIPAL AP</t>
  </si>
  <si>
    <t>RIVERTON MUNICIPL AP</t>
  </si>
  <si>
    <t>SHERIDAN COUNTY ARPT</t>
  </si>
  <si>
    <t>WORLAND MUNICIPAL</t>
  </si>
  <si>
    <t>WHITEHORSE</t>
  </si>
  <si>
    <t>99% DB [F]</t>
  </si>
  <si>
    <t>ASHRAE 1% DB Cooling Temp (F)</t>
  </si>
  <si>
    <t>Climate Information</t>
  </si>
  <si>
    <t>HSPF</t>
  </si>
  <si>
    <t>Derated SEER</t>
  </si>
  <si>
    <t>EER</t>
  </si>
  <si>
    <t>SEER</t>
  </si>
  <si>
    <t>IEER</t>
  </si>
  <si>
    <t>Heating</t>
  </si>
  <si>
    <t>Rated COP 1</t>
  </si>
  <si>
    <t>Rated COP 2</t>
  </si>
  <si>
    <t>Qty:</t>
  </si>
  <si>
    <t>Weighted Values</t>
  </si>
  <si>
    <t>Derated HSPF</t>
  </si>
  <si>
    <t>-</t>
  </si>
  <si>
    <t>or</t>
  </si>
  <si>
    <t>Columbia</t>
  </si>
  <si>
    <t>Cartagena</t>
  </si>
  <si>
    <t>CARTAGENA, COLUMBIA</t>
  </si>
  <si>
    <t>Capacity Fraction</t>
  </si>
  <si>
    <t>v3.0 - 2023.09</t>
  </si>
  <si>
    <t>Delivery Method</t>
  </si>
  <si>
    <t>Recirculation Air</t>
  </si>
  <si>
    <t>Heating Data</t>
  </si>
  <si>
    <t>Cooling Data</t>
  </si>
  <si>
    <t>Recirc</t>
  </si>
  <si>
    <t>Vent</t>
  </si>
  <si>
    <t>Ventilation Air</t>
  </si>
  <si>
    <t>Number of Systems Needed</t>
  </si>
  <si>
    <t>Cooling via Recirculation Air</t>
  </si>
  <si>
    <t>Cooling via Ventilation Air</t>
  </si>
  <si>
    <t>COP @ [°F]</t>
  </si>
  <si>
    <t>Capacity in kBtu/hr @ [°F]</t>
  </si>
  <si>
    <t>kBtu/hr</t>
  </si>
  <si>
    <t>cfm</t>
  </si>
  <si>
    <t>°F</t>
  </si>
  <si>
    <t>Ambient Temperature 2</t>
  </si>
  <si>
    <t>Ambient Temperature 1</t>
  </si>
  <si>
    <t>Units</t>
  </si>
  <si>
    <t>Type of Phius Climate Data</t>
  </si>
  <si>
    <t>Typical</t>
  </si>
  <si>
    <t>System Performance Data</t>
  </si>
  <si>
    <t>Calculations</t>
  </si>
  <si>
    <t>Derated HSPF &amp; SEER ratings determined by FSEC-PF-413-04: Climate Impacts on Heating Seasonal Performance Factor (HSFP) and Seasonal Energy Efficiency Ratio (SEER) for Air Source Heat Pumps.
http://www.fsec.ucf.edu/en/publications/html/fsec-pf-413-04/</t>
  </si>
  <si>
    <t>Device(s)</t>
  </si>
  <si>
    <t>Include line items for each unique device type. Only include outdoor compressors and condensing units. Do not include interior heads or air handling units.</t>
  </si>
  <si>
    <t>Results</t>
  </si>
  <si>
    <t>Instructions</t>
  </si>
  <si>
    <t>Calculated cells</t>
  </si>
  <si>
    <t>Calculated cells from another sheet</t>
  </si>
  <si>
    <t>Required dropdown menu inputs</t>
  </si>
  <si>
    <t>Required inputs</t>
  </si>
  <si>
    <t>Phius Air Source Heat Pump Calculator</t>
  </si>
  <si>
    <t>Select</t>
  </si>
  <si>
    <t>Performance data should be provided from the manufacturer or a third party rating like NEEP (https://ashp.neep.org/#!/) or AHRI (https://www.ahridirectory.org/Search/SearchHome?ReturnUrl=%2f). Input data at the design conditions noted below.
For heating, either the COP at two temperatures should be input or the HSPF, but not both.
For cooling, either the EER &amp; SEER or the IEER should be input, but not both.</t>
  </si>
  <si>
    <t xml:space="preserve">FS-148 Generic HP </t>
  </si>
  <si>
    <t>HP-1: Brand - Model #</t>
  </si>
  <si>
    <t xml:space="preserve">Capacity [kBtu/hr] </t>
  </si>
  <si>
    <t>95 °F</t>
  </si>
  <si>
    <t xml:space="preserve">The values calculated to the left are weighted average COPs for the heating system as a whole. Under the heat pump device device noted above, set the Type to 'Heat Pump - rated monthly COP' and input values as shown below. </t>
  </si>
  <si>
    <r>
      <t xml:space="preserve">If using </t>
    </r>
    <r>
      <rPr>
        <b/>
        <sz val="12"/>
        <color theme="1"/>
        <rFont val="Open Sans"/>
        <family val="2"/>
      </rPr>
      <t>typical Phius Climate Data</t>
    </r>
    <r>
      <rPr>
        <sz val="12"/>
        <color theme="1"/>
        <rFont val="Open Sans"/>
        <family val="2"/>
      </rPr>
      <t xml:space="preserve">, select the country, state, and climate location from the Dropdown menus. The climate location name should match the name of the climate file name as show in the screenshot to the right. 
If using </t>
    </r>
    <r>
      <rPr>
        <b/>
        <sz val="12"/>
        <color theme="1"/>
        <rFont val="Open Sans"/>
        <family val="2"/>
      </rPr>
      <t>Phius-generated</t>
    </r>
    <r>
      <rPr>
        <sz val="12"/>
        <color theme="1"/>
        <rFont val="Open Sans"/>
        <family val="2"/>
      </rPr>
      <t xml:space="preserve"> </t>
    </r>
    <r>
      <rPr>
        <b/>
        <sz val="12"/>
        <color theme="1"/>
        <rFont val="Open Sans"/>
        <family val="2"/>
      </rPr>
      <t>Custom Climate Data</t>
    </r>
    <r>
      <rPr>
        <sz val="12"/>
        <color theme="1"/>
        <rFont val="Open Sans"/>
        <family val="2"/>
      </rPr>
      <t xml:space="preserve">, select the country and state from the Dropdown menus. Then, paste the climate location name from WUFI in the "Custom Climate Location" cell. </t>
    </r>
  </si>
  <si>
    <r>
      <rPr>
        <b/>
        <sz val="12"/>
        <color theme="1"/>
        <rFont val="Open Sans"/>
        <family val="2"/>
      </rPr>
      <t>System Performance Data:</t>
    </r>
    <r>
      <rPr>
        <sz val="12"/>
        <color theme="1"/>
        <rFont val="Open Sans"/>
        <family val="2"/>
      </rPr>
      <t xml:space="preserve"> Input the system information per the equipment datasheet. Enter the quantity of identical devices. If multiple unique devices are used, all should be entered as individual line items. Performance data cells in this section will automatically 'gray out' as information is entered as shown in the example</t>
    </r>
    <r>
      <rPr>
        <b/>
        <sz val="12"/>
        <color theme="1"/>
        <rFont val="Open Sans"/>
        <family val="2"/>
      </rPr>
      <t xml:space="preserve"> below</t>
    </r>
    <r>
      <rPr>
        <sz val="12"/>
        <color theme="1"/>
        <rFont val="Open Sans"/>
        <family val="2"/>
      </rPr>
      <t xml:space="preserve">.
</t>
    </r>
    <r>
      <rPr>
        <b/>
        <sz val="12"/>
        <color theme="1"/>
        <rFont val="Open Sans"/>
        <family val="2"/>
      </rPr>
      <t>Delivery Method</t>
    </r>
    <r>
      <rPr>
        <sz val="12"/>
        <color theme="1"/>
        <rFont val="Open Sans"/>
        <family val="2"/>
      </rPr>
      <t xml:space="preserve">: This entry should match the box that is checked in WUFI under System&gt;Distribution&gt;Cooling as shown in the screenshot to the </t>
    </r>
    <r>
      <rPr>
        <b/>
        <sz val="12"/>
        <color theme="1"/>
        <rFont val="Open Sans"/>
        <family val="2"/>
      </rPr>
      <t>right</t>
    </r>
    <r>
      <rPr>
        <sz val="12"/>
        <color theme="1"/>
        <rFont val="Open Sans"/>
        <family val="2"/>
      </rPr>
      <t xml:space="preserve">. Recirculation air is the most common. 
</t>
    </r>
    <r>
      <rPr>
        <b/>
        <sz val="12"/>
        <color theme="1"/>
        <rFont val="Open Sans"/>
        <family val="2"/>
      </rPr>
      <t>Please note:</t>
    </r>
    <r>
      <rPr>
        <sz val="12"/>
        <color theme="1"/>
        <rFont val="Open Sans"/>
        <family val="2"/>
      </rPr>
      <t xml:space="preserve"> The temperatures are variable and should match the reported values on the specified system's datasheet. These should be entered in the </t>
    </r>
    <r>
      <rPr>
        <b/>
        <sz val="12"/>
        <color theme="1"/>
        <rFont val="Open Sans"/>
        <family val="2"/>
      </rPr>
      <t>blue</t>
    </r>
    <r>
      <rPr>
        <sz val="12"/>
        <color theme="1"/>
        <rFont val="Open Sans"/>
        <family val="2"/>
      </rPr>
      <t xml:space="preserve"> cells under heating capacity &amp; cooling capacity. </t>
    </r>
  </si>
  <si>
    <t>EVANSTON-UINTA COUNTY AP</t>
  </si>
  <si>
    <t>GREEN RIVER-GREATER GREEN RIVER INTERGALACTIC SPACEPORT</t>
  </si>
  <si>
    <t>Vietnam</t>
  </si>
  <si>
    <t>VIT</t>
  </si>
  <si>
    <t>DC</t>
  </si>
  <si>
    <t>PULASKI-NEW RIVER</t>
  </si>
  <si>
    <t>BLANDING MUNI AP</t>
  </si>
  <si>
    <t>BRYCE CANYON AP</t>
  </si>
  <si>
    <t>HANKSVILLE AP</t>
  </si>
  <si>
    <t>AUSTIN-CAMP MABRY</t>
  </si>
  <si>
    <t>DALLAS-ADDISON ARPT</t>
  </si>
  <si>
    <t>DALLAS-REDBIRD ARPT</t>
  </si>
  <si>
    <t>DALLAS-LOVE FIELD</t>
  </si>
  <si>
    <t>GREENVILLE MUNI AP</t>
  </si>
  <si>
    <t>KILLEEN MUNI AWOS</t>
  </si>
  <si>
    <t>MCGREGOR (AWOS)</t>
  </si>
  <si>
    <t>COL</t>
  </si>
  <si>
    <t>IND</t>
  </si>
  <si>
    <t>NORTH MYRTLE BEACH-GRAND STRAND FIELD</t>
  </si>
  <si>
    <t>BARTLESVILLE-PHILLIPS FIELD</t>
  </si>
  <si>
    <t>LAS CRUCES INTL AP</t>
  </si>
  <si>
    <t>TUCUMCARI AP</t>
  </si>
  <si>
    <t>CHADRON MUNI AP</t>
  </si>
  <si>
    <t>IMPERIAL MUNI AP</t>
  </si>
  <si>
    <t>ONEILL-BAKER FIELD</t>
  </si>
  <si>
    <t>ORD-SHARP FIELD</t>
  </si>
  <si>
    <t>v3.1 - 2023.10</t>
  </si>
  <si>
    <t>FERGUS FALLS AWOS</t>
  </si>
  <si>
    <t>MARSHALL MUNI-RYAN FIELD AWOS</t>
  </si>
  <si>
    <t>TWO HARBORS MUNI AP</t>
  </si>
  <si>
    <t>OLATHE/JOHNSON CO. INDUSTRIAL AP</t>
  </si>
  <si>
    <t>OLATHE/JOHNSON CO. EXECUTIVE AP</t>
  </si>
  <si>
    <t>LANAI AP</t>
  </si>
  <si>
    <t>CHINA LAKE NAF</t>
  </si>
  <si>
    <t>SOUTH LAKE TAHOE-LAKE TAHOE AP</t>
  </si>
  <si>
    <t>SANTA ANA-JOHN WAYNE AP</t>
  </si>
  <si>
    <t>TWENTYNINE PALMS</t>
  </si>
  <si>
    <t>SHOW LOW MUNI AP</t>
  </si>
  <si>
    <t>GADSDEN MUNI AWOS</t>
  </si>
  <si>
    <t>TROY AIR FIELD</t>
  </si>
  <si>
    <t>HOONAH</t>
  </si>
  <si>
    <t>HUSLIA</t>
  </si>
  <si>
    <t>MINCHUMINA</t>
  </si>
  <si>
    <r>
      <rPr>
        <b/>
        <sz val="12"/>
        <color theme="1"/>
        <rFont val="Open Sans"/>
        <family val="2"/>
      </rPr>
      <t>Number of Systems:</t>
    </r>
    <r>
      <rPr>
        <sz val="12"/>
        <color theme="1"/>
        <rFont val="Open Sans"/>
        <family val="2"/>
      </rPr>
      <t xml:space="preserve"> Smaller projects typically only require one system. Larger projects that require more cooling will need to be distributed evenly across multiple systems in WUFI due to software limitations. See '</t>
    </r>
    <r>
      <rPr>
        <b/>
        <sz val="12"/>
        <color theme="1"/>
        <rFont val="Open Sans"/>
        <family val="2"/>
      </rPr>
      <t>Recirculation Air Cooling Capacity</t>
    </r>
    <r>
      <rPr>
        <sz val="12"/>
        <color theme="1"/>
        <rFont val="Open Sans"/>
        <family val="2"/>
      </rPr>
      <t xml:space="preserve">' below. Additional systems (heat pumps) modeled should only be used for space cooling. 
</t>
    </r>
    <r>
      <rPr>
        <b/>
        <sz val="12"/>
        <color theme="1"/>
        <rFont val="Open Sans"/>
        <family val="2"/>
      </rPr>
      <t>Space Cooling Coverage:</t>
    </r>
    <r>
      <rPr>
        <sz val="12"/>
        <color theme="1"/>
        <rFont val="Open Sans"/>
        <family val="2"/>
      </rPr>
      <t xml:space="preserve"> Is how WUFI distributes even coverage when multiple systems are required. The formula (1/# of systems) is used to determine this value. In this example, 1/6 systems = 0.166. One of the systems should be set to 0.17 so that the</t>
    </r>
    <r>
      <rPr>
        <b/>
        <sz val="12"/>
        <color theme="1"/>
        <rFont val="Open Sans"/>
        <family val="2"/>
      </rPr>
      <t xml:space="preserve"> total</t>
    </r>
    <r>
      <rPr>
        <sz val="12"/>
        <color theme="1"/>
        <rFont val="Open Sans"/>
        <family val="2"/>
      </rPr>
      <t xml:space="preserve"> coverage equals 1 ((0.166*5)+0.17=1)
</t>
    </r>
    <r>
      <rPr>
        <b/>
        <sz val="12"/>
        <color theme="1"/>
        <rFont val="Open Sans"/>
        <family val="2"/>
      </rPr>
      <t>Recirculation Air Flow Rate:</t>
    </r>
    <r>
      <rPr>
        <sz val="12"/>
        <color theme="1"/>
        <rFont val="Open Sans"/>
        <family val="2"/>
      </rPr>
      <t xml:space="preserve"> Is estimated assuming 300 cfm per ton of cooling (12 kBtu/hr)
</t>
    </r>
    <r>
      <rPr>
        <b/>
        <sz val="12"/>
        <color theme="1"/>
        <rFont val="Open Sans"/>
        <family val="2"/>
      </rPr>
      <t>Recirculation Air Cooling Capacity:</t>
    </r>
    <r>
      <rPr>
        <sz val="12"/>
        <color theme="1"/>
        <rFont val="Open Sans"/>
        <family val="2"/>
      </rPr>
      <t xml:space="preserve"> From manufacturer datasheet, multiplied by the quantity of devices. WUFI is limited to 682 kBtu/hr. When the Cooling Capacity of the specified system exceeds this amount, multiple systems need to be modeled to cover the cooling demand of the project. 
</t>
    </r>
    <r>
      <rPr>
        <b/>
        <sz val="12"/>
        <color theme="1"/>
        <rFont val="Open Sans"/>
        <family val="2"/>
      </rPr>
      <t>Recirculation Cooling COP:</t>
    </r>
    <r>
      <rPr>
        <sz val="12"/>
        <color theme="1"/>
        <rFont val="Open Sans"/>
        <family val="2"/>
      </rPr>
      <t xml:space="preserve"> Automatically calculated based on weighted averages of values entered in 'System Performance Data' section.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</si>
</sst>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0.0"/>
  </numFmts>
  <fonts count="20" x14ac:knownFonts="1">
    <font>
      <sz val="11"/>
      <color theme="1"/>
      <name val="Calibri"/>
      <family val="2"/>
      <scheme val="minor"/>
    </font>
    <font>
      <sz val="11"/>
      <color theme="1"/>
      <name val="Calibri"/>
      <family val="2"/>
      <scheme val="minor"/>
    </font>
    <font>
      <sz val="10"/>
      <name val="Verdana"/>
      <family val="2"/>
    </font>
    <font>
      <sz val="10"/>
      <color rgb="FF000000"/>
      <name val="Arial"/>
      <family val="2"/>
    </font>
    <font>
      <sz val="12"/>
      <color theme="1"/>
      <name val="Open Sans"/>
      <family val="2"/>
    </font>
    <font>
      <b/>
      <sz val="16"/>
      <color theme="1"/>
      <name val="Open Sans"/>
      <family val="2"/>
    </font>
    <font>
      <sz val="12"/>
      <color rgb="FF000000"/>
      <name val="Open Sans"/>
      <family val="2"/>
    </font>
    <font>
      <sz val="11"/>
      <color theme="1"/>
      <name val="Open Sans"/>
      <family val="2"/>
    </font>
    <font>
      <b/>
      <sz val="12"/>
      <color theme="1"/>
      <name val="Open Sans"/>
      <family val="2"/>
    </font>
    <font>
      <b/>
      <sz val="18"/>
      <color theme="0"/>
      <name val="Open Sans"/>
      <family val="2"/>
    </font>
    <font>
      <sz val="10"/>
      <color theme="1"/>
      <name val="Open Sans"/>
      <family val="2"/>
    </font>
    <font>
      <b/>
      <sz val="10"/>
      <color rgb="FF0E2746"/>
      <name val="Open Sans"/>
      <family val="2"/>
    </font>
    <font>
      <b/>
      <sz val="12"/>
      <color rgb="FF000000"/>
      <name val="Open Sans"/>
      <family val="2"/>
    </font>
    <font>
      <b/>
      <sz val="12"/>
      <color theme="0"/>
      <name val="Open Sans"/>
      <family val="2"/>
    </font>
    <font>
      <b/>
      <sz val="12"/>
      <color rgb="FF0E2746"/>
      <name val="Open Sans"/>
      <family val="2"/>
    </font>
    <font>
      <sz val="12"/>
      <name val="Open Sans"/>
      <family val="2"/>
    </font>
    <font>
      <sz val="10"/>
      <name val="Open Sans"/>
      <family val="2"/>
    </font>
    <font>
      <sz val="11"/>
      <name val="Open Sans"/>
      <family val="2"/>
    </font>
    <font>
      <sz val="10"/>
      <color rgb="FF0000FF"/>
      <name val="Open Sans"/>
      <family val="2"/>
    </font>
    <font>
      <sz val="11"/>
      <color rgb="FFFF0000"/>
      <name val="Open Sans"/>
      <family val="2"/>
    </font>
  </fonts>
  <fills count="15">
    <fill>
      <patternFill patternType="none"/>
    </fill>
    <fill>
      <patternFill patternType="gray125"/>
    </fill>
    <fill>
      <patternFill patternType="solid">
        <fgColor rgb="FFF3F3F3"/>
        <bgColor indexed="64"/>
      </patternFill>
    </fill>
    <fill>
      <patternFill patternType="solid">
        <fgColor theme="0" tint="-4.9989318521683403E-2"/>
        <bgColor indexed="64"/>
      </patternFill>
    </fill>
    <fill>
      <patternFill patternType="solid">
        <fgColor theme="2"/>
        <bgColor indexed="64"/>
      </patternFill>
    </fill>
    <fill>
      <patternFill patternType="solid">
        <fgColor theme="8" tint="0.79998168889431442"/>
        <bgColor indexed="64"/>
      </patternFill>
    </fill>
    <fill>
      <patternFill patternType="solid">
        <fgColor rgb="FFFBC5C5"/>
        <bgColor indexed="64"/>
      </patternFill>
    </fill>
    <fill>
      <patternFill patternType="solid">
        <fgColor rgb="FF0E2746"/>
        <bgColor indexed="64"/>
      </patternFill>
    </fill>
    <fill>
      <patternFill patternType="solid">
        <fgColor rgb="FF00AAAF"/>
        <bgColor rgb="FF00AAAF"/>
      </patternFill>
    </fill>
    <fill>
      <patternFill patternType="solid">
        <fgColor rgb="FF6E4692"/>
        <bgColor indexed="64"/>
      </patternFill>
    </fill>
    <fill>
      <patternFill patternType="solid">
        <fgColor rgb="FFEDECE0"/>
        <bgColor indexed="64"/>
      </patternFill>
    </fill>
    <fill>
      <patternFill patternType="solid">
        <fgColor rgb="FFB5E3E8"/>
        <bgColor indexed="64"/>
      </patternFill>
    </fill>
    <fill>
      <patternFill patternType="darkGray">
        <fgColor rgb="FFDFFD61"/>
        <bgColor auto="1"/>
      </patternFill>
    </fill>
    <fill>
      <patternFill patternType="solid">
        <fgColor rgb="FFDFFD61"/>
        <bgColor rgb="FF000000"/>
      </patternFill>
    </fill>
    <fill>
      <patternFill patternType="darkUp">
        <bgColor rgb="FFB5E3E8"/>
      </patternFill>
    </fill>
  </fills>
  <borders count="5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style="medium">
        <color auto="1"/>
      </left>
      <right/>
      <top style="medium">
        <color auto="1"/>
      </top>
      <bottom style="thin">
        <color auto="1"/>
      </bottom>
      <diagonal/>
    </border>
    <border>
      <left/>
      <right style="medium">
        <color auto="1"/>
      </right>
      <top style="medium">
        <color indexed="64"/>
      </top>
      <bottom style="thin">
        <color auto="1"/>
      </bottom>
      <diagonal/>
    </border>
    <border>
      <left/>
      <right/>
      <top/>
      <bottom style="medium">
        <color auto="1"/>
      </bottom>
      <diagonal/>
    </border>
    <border>
      <left style="medium">
        <color auto="1"/>
      </left>
      <right/>
      <top style="thin">
        <color indexed="64"/>
      </top>
      <bottom style="medium">
        <color auto="1"/>
      </bottom>
      <diagonal/>
    </border>
    <border>
      <left/>
      <right style="medium">
        <color auto="1"/>
      </right>
      <top style="thin">
        <color auto="1"/>
      </top>
      <bottom style="medium">
        <color indexed="64"/>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thin">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thin">
        <color auto="1"/>
      </right>
      <top/>
      <bottom/>
      <diagonal/>
    </border>
    <border>
      <left style="medium">
        <color auto="1"/>
      </left>
      <right style="thin">
        <color auto="1"/>
      </right>
      <top style="thin">
        <color indexed="64"/>
      </top>
      <bottom/>
      <diagonal/>
    </border>
    <border>
      <left style="thin">
        <color auto="1"/>
      </left>
      <right style="thin">
        <color auto="1"/>
      </right>
      <top style="thin">
        <color auto="1"/>
      </top>
      <bottom/>
      <diagonal/>
    </border>
    <border>
      <left style="medium">
        <color auto="1"/>
      </left>
      <right/>
      <top style="thin">
        <color auto="1"/>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auto="1"/>
      </right>
      <top style="medium">
        <color indexed="64"/>
      </top>
      <bottom/>
      <diagonal/>
    </border>
    <border>
      <left/>
      <right/>
      <top style="medium">
        <color indexed="64"/>
      </top>
      <bottom style="thin">
        <color indexed="64"/>
      </bottom>
      <diagonal/>
    </border>
    <border>
      <left style="thin">
        <color indexed="64"/>
      </left>
      <right/>
      <top style="medium">
        <color indexed="64"/>
      </top>
      <bottom/>
      <diagonal/>
    </border>
    <border>
      <left/>
      <right/>
      <top style="medium">
        <color indexed="64"/>
      </top>
      <bottom/>
      <diagonal/>
    </border>
    <border>
      <left style="thin">
        <color auto="1"/>
      </left>
      <right style="medium">
        <color indexed="64"/>
      </right>
      <top style="thin">
        <color auto="1"/>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top/>
      <bottom style="medium">
        <color indexed="64"/>
      </bottom>
      <diagonal/>
    </border>
    <border>
      <left/>
      <right/>
      <top style="medium">
        <color auto="1"/>
      </top>
      <bottom style="medium">
        <color auto="1"/>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style="medium">
        <color indexed="64"/>
      </bottom>
      <diagonal/>
    </border>
    <border>
      <left style="medium">
        <color auto="1"/>
      </left>
      <right style="medium">
        <color indexed="64"/>
      </right>
      <top/>
      <bottom/>
      <diagonal/>
    </border>
    <border>
      <left/>
      <right/>
      <top style="thin">
        <color auto="1"/>
      </top>
      <bottom/>
      <diagonal/>
    </border>
    <border>
      <left/>
      <right style="medium">
        <color auto="1"/>
      </right>
      <top style="thin">
        <color auto="1"/>
      </top>
      <bottom/>
      <diagonal/>
    </border>
    <border>
      <left/>
      <right style="medium">
        <color auto="1"/>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5">
    <xf numFmtId="0" fontId="0" fillId="0" borderId="0"/>
    <xf numFmtId="0" fontId="2" fillId="0" borderId="0"/>
    <xf numFmtId="0" fontId="3" fillId="0" borderId="0"/>
    <xf numFmtId="0" fontId="1" fillId="0" borderId="0"/>
    <xf numFmtId="0" fontId="3" fillId="0" borderId="0"/>
  </cellStyleXfs>
  <cellXfs count="227">
    <xf numFmtId="0" fontId="0" fillId="0" borderId="0" xfId="0"/>
    <xf numFmtId="0" fontId="7" fillId="0" borderId="0" xfId="3" applyFont="1" applyAlignment="1" applyProtection="1">
      <alignment vertical="center"/>
      <protection locked="0"/>
    </xf>
    <xf numFmtId="0" fontId="7" fillId="0" borderId="0" xfId="4" applyFont="1" applyAlignment="1" applyProtection="1">
      <alignment vertical="center"/>
      <protection locked="0"/>
    </xf>
    <xf numFmtId="0" fontId="7" fillId="0" borderId="0" xfId="3" applyFont="1" applyProtection="1">
      <protection locked="0"/>
    </xf>
    <xf numFmtId="0" fontId="7" fillId="0" borderId="0" xfId="3" applyFont="1" applyAlignment="1" applyProtection="1">
      <alignment horizontal="center" vertical="center"/>
      <protection locked="0"/>
    </xf>
    <xf numFmtId="0" fontId="13" fillId="8" borderId="21" xfId="3" applyFont="1" applyFill="1" applyBorder="1" applyAlignment="1" applyProtection="1">
      <alignment horizontal="center" vertical="center" wrapText="1"/>
      <protection locked="0"/>
    </xf>
    <xf numFmtId="0" fontId="13" fillId="8" borderId="2" xfId="3" applyFont="1" applyFill="1" applyBorder="1" applyAlignment="1" applyProtection="1">
      <alignment horizontal="center" vertical="center" wrapText="1"/>
      <protection locked="0"/>
    </xf>
    <xf numFmtId="0" fontId="13" fillId="8" borderId="11" xfId="3" applyFont="1" applyFill="1" applyBorder="1" applyAlignment="1" applyProtection="1">
      <alignment horizontal="center" vertical="center" wrapText="1"/>
      <protection locked="0"/>
    </xf>
    <xf numFmtId="0" fontId="4" fillId="11" borderId="36" xfId="3" applyFont="1" applyFill="1" applyBorder="1" applyAlignment="1" applyProtection="1">
      <alignment horizontal="center" vertical="center" wrapText="1"/>
      <protection locked="0"/>
    </xf>
    <xf numFmtId="0" fontId="8" fillId="5" borderId="15" xfId="3" applyFont="1" applyFill="1" applyBorder="1" applyAlignment="1" applyProtection="1">
      <alignment horizontal="right" vertical="center" wrapText="1" indent="1"/>
      <protection locked="0"/>
    </xf>
    <xf numFmtId="0" fontId="8" fillId="5" borderId="26" xfId="3" applyFont="1" applyFill="1" applyBorder="1" applyAlignment="1" applyProtection="1">
      <alignment horizontal="right" vertical="center" wrapText="1" indent="1"/>
      <protection locked="0"/>
    </xf>
    <xf numFmtId="0" fontId="8" fillId="5" borderId="26" xfId="3" applyFont="1" applyFill="1" applyBorder="1" applyAlignment="1" applyProtection="1">
      <alignment horizontal="right" vertical="center" indent="1"/>
      <protection locked="0"/>
    </xf>
    <xf numFmtId="0" fontId="8" fillId="6" borderId="8" xfId="3" applyFont="1" applyFill="1" applyBorder="1" applyAlignment="1" applyProtection="1">
      <alignment horizontal="right" vertical="center" indent="1"/>
      <protection locked="0"/>
    </xf>
    <xf numFmtId="0" fontId="8" fillId="6" borderId="11" xfId="3" applyFont="1" applyFill="1" applyBorder="1" applyAlignment="1" applyProtection="1">
      <alignment horizontal="right" vertical="center" indent="1"/>
      <protection locked="0"/>
    </xf>
    <xf numFmtId="0" fontId="4" fillId="11" borderId="11" xfId="3" applyFont="1" applyFill="1" applyBorder="1" applyAlignment="1" applyProtection="1">
      <alignment horizontal="center" vertical="center" wrapText="1"/>
      <protection locked="0"/>
    </xf>
    <xf numFmtId="0" fontId="4" fillId="11" borderId="39" xfId="3" applyFont="1" applyFill="1" applyBorder="1" applyAlignment="1" applyProtection="1">
      <alignment horizontal="center" vertical="center" wrapText="1"/>
      <protection locked="0"/>
    </xf>
    <xf numFmtId="0" fontId="13" fillId="8" borderId="8" xfId="3" applyFont="1" applyFill="1" applyBorder="1" applyAlignment="1" applyProtection="1">
      <alignment horizontal="center" vertical="center" wrapText="1"/>
      <protection locked="0"/>
    </xf>
    <xf numFmtId="0" fontId="4" fillId="11" borderId="21" xfId="3" applyFont="1" applyFill="1" applyBorder="1" applyAlignment="1" applyProtection="1">
      <alignment horizontal="center" vertical="center" wrapText="1"/>
      <protection locked="0"/>
    </xf>
    <xf numFmtId="0" fontId="13" fillId="8" borderId="39" xfId="3" applyFont="1" applyFill="1" applyBorder="1" applyAlignment="1" applyProtection="1">
      <alignment horizontal="center" vertical="center" wrapText="1"/>
      <protection locked="0"/>
    </xf>
    <xf numFmtId="0" fontId="13" fillId="8" borderId="43" xfId="3" applyFont="1" applyFill="1" applyBorder="1" applyAlignment="1" applyProtection="1">
      <alignment horizontal="center" vertical="center" wrapText="1"/>
      <protection locked="0"/>
    </xf>
    <xf numFmtId="0" fontId="4" fillId="12" borderId="36" xfId="3" applyFont="1" applyFill="1" applyBorder="1" applyAlignment="1">
      <alignment horizontal="center" vertical="center"/>
    </xf>
    <xf numFmtId="0" fontId="4" fillId="5" borderId="1" xfId="3" applyFont="1" applyFill="1" applyBorder="1" applyAlignment="1">
      <alignment horizontal="center" vertical="center" wrapText="1"/>
    </xf>
    <xf numFmtId="0" fontId="4" fillId="11" borderId="36" xfId="3" applyFont="1" applyFill="1" applyBorder="1" applyAlignment="1">
      <alignment horizontal="center" vertical="center" wrapText="1"/>
    </xf>
    <xf numFmtId="0" fontId="6" fillId="10" borderId="2" xfId="0" applyFont="1" applyFill="1" applyBorder="1" applyAlignment="1">
      <alignment horizontal="center" vertical="center"/>
    </xf>
    <xf numFmtId="0" fontId="6" fillId="10" borderId="36" xfId="0" applyFont="1" applyFill="1" applyBorder="1" applyAlignment="1">
      <alignment horizontal="center" vertical="center"/>
    </xf>
    <xf numFmtId="0" fontId="6" fillId="10" borderId="42" xfId="0" applyFont="1" applyFill="1" applyBorder="1" applyAlignment="1">
      <alignment horizontal="center" vertical="center"/>
    </xf>
    <xf numFmtId="0" fontId="7" fillId="10" borderId="20" xfId="3" applyFont="1" applyFill="1" applyBorder="1" applyAlignment="1">
      <alignment horizontal="center" vertical="center"/>
    </xf>
    <xf numFmtId="0" fontId="7" fillId="10" borderId="15" xfId="3" applyFont="1" applyFill="1" applyBorder="1" applyAlignment="1">
      <alignment horizontal="center" vertical="center"/>
    </xf>
    <xf numFmtId="0" fontId="7" fillId="10" borderId="1" xfId="3" applyFont="1" applyFill="1" applyBorder="1" applyAlignment="1">
      <alignment horizontal="center" vertical="center"/>
    </xf>
    <xf numFmtId="2" fontId="10" fillId="12" borderId="15" xfId="3" applyNumberFormat="1" applyFont="1" applyFill="1" applyBorder="1" applyAlignment="1">
      <alignment horizontal="center" vertical="center"/>
    </xf>
    <xf numFmtId="2" fontId="10" fillId="12" borderId="1" xfId="3" applyNumberFormat="1" applyFont="1" applyFill="1" applyBorder="1" applyAlignment="1">
      <alignment horizontal="center" vertical="center"/>
    </xf>
    <xf numFmtId="2" fontId="11" fillId="13" borderId="1" xfId="3" applyNumberFormat="1" applyFont="1" applyFill="1" applyBorder="1" applyAlignment="1">
      <alignment horizontal="center" vertical="center"/>
    </xf>
    <xf numFmtId="2" fontId="11" fillId="13" borderId="25" xfId="3" applyNumberFormat="1" applyFont="1" applyFill="1" applyBorder="1" applyAlignment="1">
      <alignment horizontal="center" vertical="center"/>
    </xf>
    <xf numFmtId="2" fontId="10" fillId="12" borderId="26" xfId="3" applyNumberFormat="1" applyFont="1" applyFill="1" applyBorder="1" applyAlignment="1">
      <alignment horizontal="center" vertical="center"/>
    </xf>
    <xf numFmtId="2" fontId="10" fillId="12" borderId="27" xfId="3" applyNumberFormat="1" applyFont="1" applyFill="1" applyBorder="1" applyAlignment="1">
      <alignment horizontal="center" vertical="center"/>
    </xf>
    <xf numFmtId="2" fontId="11" fillId="13" borderId="27" xfId="3" applyNumberFormat="1" applyFont="1" applyFill="1" applyBorder="1" applyAlignment="1">
      <alignment horizontal="center" vertical="center"/>
    </xf>
    <xf numFmtId="2" fontId="11" fillId="13" borderId="28" xfId="3" applyNumberFormat="1" applyFont="1" applyFill="1" applyBorder="1" applyAlignment="1">
      <alignment horizontal="center" vertical="center"/>
    </xf>
    <xf numFmtId="0" fontId="6" fillId="10" borderId="42" xfId="0" applyFont="1" applyFill="1" applyBorder="1" applyAlignment="1">
      <alignment horizontal="center" vertical="center" wrapText="1"/>
    </xf>
    <xf numFmtId="0" fontId="6" fillId="10" borderId="8" xfId="0" applyFont="1" applyFill="1" applyBorder="1" applyAlignment="1">
      <alignment horizontal="center" vertical="center" wrapText="1"/>
    </xf>
    <xf numFmtId="0" fontId="6" fillId="10" borderId="21" xfId="0" applyFont="1" applyFill="1" applyBorder="1" applyAlignment="1">
      <alignment horizontal="center" vertical="center"/>
    </xf>
    <xf numFmtId="0" fontId="6" fillId="10" borderId="2" xfId="0" applyFont="1" applyFill="1" applyBorder="1" applyAlignment="1">
      <alignment horizontal="center" vertical="center" wrapText="1"/>
    </xf>
    <xf numFmtId="0" fontId="16" fillId="0" borderId="0" xfId="0" applyFont="1" applyAlignment="1" applyProtection="1">
      <alignment horizontal="left" vertical="center"/>
      <protection locked="0"/>
    </xf>
    <xf numFmtId="0" fontId="7" fillId="0" borderId="0" xfId="0" applyFont="1" applyAlignment="1" applyProtection="1">
      <alignment vertical="center"/>
      <protection locked="0"/>
    </xf>
    <xf numFmtId="2" fontId="7" fillId="0" borderId="0" xfId="3" applyNumberFormat="1" applyFont="1" applyProtection="1">
      <protection locked="0"/>
    </xf>
    <xf numFmtId="2" fontId="7" fillId="0" borderId="0" xfId="0" applyNumberFormat="1" applyFont="1" applyAlignment="1" applyProtection="1">
      <alignment vertical="center"/>
      <protection locked="0"/>
    </xf>
    <xf numFmtId="1" fontId="17" fillId="10" borderId="1" xfId="3" applyNumberFormat="1" applyFont="1" applyFill="1" applyBorder="1" applyAlignment="1">
      <alignment horizontal="center" vertical="center"/>
    </xf>
    <xf numFmtId="0" fontId="15" fillId="0" borderId="0" xfId="0" applyFont="1" applyAlignment="1">
      <alignment horizontal="left" vertical="center"/>
    </xf>
    <xf numFmtId="2" fontId="4" fillId="14" borderId="25" xfId="3" applyNumberFormat="1" applyFont="1" applyFill="1" applyBorder="1" applyAlignment="1" applyProtection="1">
      <alignment horizontal="center" vertical="center" wrapText="1"/>
      <protection locked="0"/>
    </xf>
    <xf numFmtId="2" fontId="4" fillId="14" borderId="28" xfId="3" applyNumberFormat="1" applyFont="1" applyFill="1" applyBorder="1" applyAlignment="1" applyProtection="1">
      <alignment horizontal="center" vertical="center" wrapText="1"/>
      <protection locked="0"/>
    </xf>
    <xf numFmtId="2" fontId="4" fillId="14" borderId="24" xfId="3" applyNumberFormat="1" applyFont="1" applyFill="1" applyBorder="1" applyAlignment="1" applyProtection="1">
      <alignment horizontal="center" vertical="center" wrapText="1"/>
      <protection locked="0"/>
    </xf>
    <xf numFmtId="1" fontId="4" fillId="11" borderId="2" xfId="3" applyNumberFormat="1" applyFont="1" applyFill="1" applyBorder="1" applyAlignment="1" applyProtection="1">
      <alignment horizontal="center" vertical="center" wrapText="1"/>
      <protection locked="0"/>
    </xf>
    <xf numFmtId="1" fontId="4" fillId="11" borderId="36" xfId="3" applyNumberFormat="1" applyFont="1" applyFill="1" applyBorder="1" applyAlignment="1" applyProtection="1">
      <alignment horizontal="center" vertical="center" wrapText="1"/>
      <protection locked="0"/>
    </xf>
    <xf numFmtId="2" fontId="4" fillId="14" borderId="5" xfId="3" applyNumberFormat="1" applyFont="1" applyFill="1" applyBorder="1" applyAlignment="1" applyProtection="1">
      <alignment horizontal="center" vertical="center" wrapText="1"/>
      <protection locked="0"/>
    </xf>
    <xf numFmtId="2" fontId="4" fillId="14" borderId="2" xfId="3" applyNumberFormat="1" applyFont="1" applyFill="1" applyBorder="1" applyAlignment="1" applyProtection="1">
      <alignment horizontal="center" vertical="center" wrapText="1"/>
      <protection locked="0"/>
    </xf>
    <xf numFmtId="0" fontId="4" fillId="11" borderId="8" xfId="3" applyFont="1" applyFill="1" applyBorder="1" applyAlignment="1" applyProtection="1">
      <alignment horizontal="center" vertical="center" wrapText="1"/>
      <protection locked="0"/>
    </xf>
    <xf numFmtId="1" fontId="4" fillId="11" borderId="42" xfId="3" applyNumberFormat="1" applyFont="1" applyFill="1" applyBorder="1" applyAlignment="1" applyProtection="1">
      <alignment horizontal="center" vertical="center" wrapText="1"/>
      <protection locked="0"/>
    </xf>
    <xf numFmtId="2" fontId="4" fillId="14" borderId="42" xfId="3" applyNumberFormat="1" applyFont="1" applyFill="1" applyBorder="1" applyAlignment="1" applyProtection="1">
      <alignment horizontal="center" vertical="center" wrapText="1"/>
      <protection locked="0"/>
    </xf>
    <xf numFmtId="2" fontId="4" fillId="14" borderId="38" xfId="3" applyNumberFormat="1" applyFont="1" applyFill="1" applyBorder="1" applyAlignment="1" applyProtection="1">
      <alignment horizontal="center" vertical="center" wrapText="1"/>
      <protection locked="0"/>
    </xf>
    <xf numFmtId="2" fontId="4" fillId="14" borderId="36" xfId="3" applyNumberFormat="1" applyFont="1" applyFill="1" applyBorder="1" applyAlignment="1" applyProtection="1">
      <alignment horizontal="center" vertical="center" wrapText="1"/>
      <protection locked="0"/>
    </xf>
    <xf numFmtId="166" fontId="4" fillId="11" borderId="8" xfId="3" applyNumberFormat="1" applyFont="1" applyFill="1" applyBorder="1" applyAlignment="1" applyProtection="1">
      <alignment horizontal="center" vertical="center" wrapText="1"/>
      <protection locked="0"/>
    </xf>
    <xf numFmtId="166" fontId="4" fillId="11" borderId="42" xfId="3" applyNumberFormat="1" applyFont="1" applyFill="1" applyBorder="1" applyAlignment="1" applyProtection="1">
      <alignment horizontal="center" vertical="center" wrapText="1"/>
      <protection locked="0"/>
    </xf>
    <xf numFmtId="166" fontId="4" fillId="11" borderId="21" xfId="3" applyNumberFormat="1" applyFont="1" applyFill="1" applyBorder="1" applyAlignment="1" applyProtection="1">
      <alignment horizontal="center" vertical="center" wrapText="1"/>
      <protection locked="0"/>
    </xf>
    <xf numFmtId="166" fontId="4" fillId="11" borderId="2" xfId="3" applyNumberFormat="1" applyFont="1" applyFill="1" applyBorder="1" applyAlignment="1" applyProtection="1">
      <alignment horizontal="center" vertical="center" wrapText="1"/>
      <protection locked="0"/>
    </xf>
    <xf numFmtId="166" fontId="4" fillId="11" borderId="11" xfId="3" applyNumberFormat="1" applyFont="1" applyFill="1" applyBorder="1" applyAlignment="1" applyProtection="1">
      <alignment horizontal="center" vertical="center" wrapText="1"/>
      <protection locked="0"/>
    </xf>
    <xf numFmtId="166" fontId="4" fillId="11" borderId="36" xfId="3" applyNumberFormat="1" applyFont="1" applyFill="1" applyBorder="1" applyAlignment="1" applyProtection="1">
      <alignment horizontal="center" vertical="center" wrapText="1"/>
      <protection locked="0"/>
    </xf>
    <xf numFmtId="0" fontId="13" fillId="9" borderId="2" xfId="3" applyFont="1" applyFill="1" applyBorder="1" applyAlignment="1">
      <alignment horizontal="center" vertical="center"/>
    </xf>
    <xf numFmtId="2" fontId="13" fillId="9" borderId="36" xfId="3" applyNumberFormat="1" applyFont="1" applyFill="1" applyBorder="1" applyAlignment="1">
      <alignment horizontal="center" vertical="center"/>
    </xf>
    <xf numFmtId="2" fontId="13" fillId="9" borderId="2" xfId="3" applyNumberFormat="1" applyFont="1" applyFill="1" applyBorder="1" applyAlignment="1">
      <alignment horizontal="center" vertical="center"/>
    </xf>
    <xf numFmtId="1" fontId="13" fillId="9" borderId="2" xfId="3" applyNumberFormat="1" applyFont="1" applyFill="1" applyBorder="1" applyAlignment="1">
      <alignment horizontal="center" vertical="center"/>
    </xf>
    <xf numFmtId="0" fontId="13" fillId="9" borderId="36" xfId="3" applyFont="1" applyFill="1" applyBorder="1" applyAlignment="1">
      <alignment horizontal="center" vertical="center"/>
    </xf>
    <xf numFmtId="0" fontId="4" fillId="10" borderId="42" xfId="3" applyFont="1" applyFill="1" applyBorder="1" applyAlignment="1">
      <alignment horizontal="center" vertical="center"/>
    </xf>
    <xf numFmtId="0" fontId="4" fillId="0" borderId="6" xfId="3" applyFont="1" applyBorder="1" applyAlignment="1" applyProtection="1">
      <alignment horizontal="center" vertical="center"/>
      <protection locked="0"/>
    </xf>
    <xf numFmtId="0" fontId="4" fillId="10" borderId="2" xfId="3" applyFont="1" applyFill="1" applyBorder="1" applyAlignment="1">
      <alignment horizontal="center" vertical="center"/>
    </xf>
    <xf numFmtId="0" fontId="4" fillId="0" borderId="38" xfId="3" applyFont="1" applyBorder="1" applyAlignment="1" applyProtection="1">
      <alignment horizontal="center" vertical="center"/>
      <protection locked="0"/>
    </xf>
    <xf numFmtId="0" fontId="4" fillId="0" borderId="2" xfId="3" applyFont="1" applyBorder="1" applyAlignment="1" applyProtection="1">
      <alignment horizontal="center" vertical="center"/>
      <protection locked="0"/>
    </xf>
    <xf numFmtId="0" fontId="4" fillId="10" borderId="38" xfId="3" applyFont="1" applyFill="1" applyBorder="1" applyAlignment="1">
      <alignment horizontal="center" vertical="center"/>
    </xf>
    <xf numFmtId="0" fontId="4" fillId="5" borderId="36" xfId="3" applyFont="1" applyFill="1" applyBorder="1" applyAlignment="1">
      <alignment horizontal="center" vertical="center" wrapText="1"/>
    </xf>
    <xf numFmtId="0" fontId="4" fillId="10" borderId="31" xfId="3" applyFont="1" applyFill="1" applyBorder="1" applyAlignment="1">
      <alignment horizontal="center" vertical="center"/>
    </xf>
    <xf numFmtId="0" fontId="4" fillId="0" borderId="0" xfId="3" applyFont="1" applyAlignment="1" applyProtection="1">
      <alignment horizontal="center" vertical="center"/>
      <protection locked="0"/>
    </xf>
    <xf numFmtId="0" fontId="4" fillId="0" borderId="0" xfId="4" applyFont="1" applyAlignment="1">
      <alignment horizontal="left" vertical="top" wrapText="1"/>
    </xf>
    <xf numFmtId="0" fontId="8" fillId="0" borderId="0" xfId="3" applyFont="1" applyAlignment="1" applyProtection="1">
      <alignment horizontal="right" vertical="center" indent="1"/>
      <protection locked="0"/>
    </xf>
    <xf numFmtId="2" fontId="13" fillId="0" borderId="0" xfId="3" applyNumberFormat="1" applyFont="1" applyAlignment="1">
      <alignment horizontal="center" vertical="center"/>
    </xf>
    <xf numFmtId="0" fontId="4" fillId="6" borderId="2" xfId="3" applyFont="1" applyFill="1" applyBorder="1" applyAlignment="1">
      <alignment horizontal="center" vertical="center" wrapText="1"/>
    </xf>
    <xf numFmtId="0" fontId="4" fillId="6" borderId="4" xfId="3" applyFont="1" applyFill="1" applyBorder="1" applyAlignment="1">
      <alignment horizontal="center" vertical="center" wrapText="1"/>
    </xf>
    <xf numFmtId="0" fontId="12" fillId="10" borderId="20" xfId="0" applyFont="1" applyFill="1" applyBorder="1" applyAlignment="1">
      <alignment horizontal="center" vertical="center"/>
    </xf>
    <xf numFmtId="0" fontId="12" fillId="10" borderId="35" xfId="0" applyFont="1" applyFill="1" applyBorder="1" applyAlignment="1">
      <alignment horizontal="center" vertical="center"/>
    </xf>
    <xf numFmtId="0" fontId="4" fillId="6" borderId="33" xfId="3" applyFont="1" applyFill="1" applyBorder="1" applyAlignment="1">
      <alignment horizontal="center" vertical="center" wrapText="1"/>
    </xf>
    <xf numFmtId="0" fontId="4" fillId="6" borderId="37" xfId="3" applyFont="1" applyFill="1" applyBorder="1" applyAlignment="1">
      <alignment horizontal="center" vertical="center" wrapText="1"/>
    </xf>
    <xf numFmtId="0" fontId="9" fillId="7" borderId="13" xfId="2" applyFont="1" applyFill="1" applyBorder="1" applyAlignment="1">
      <alignment horizontal="left" vertical="center" wrapText="1"/>
    </xf>
    <xf numFmtId="0" fontId="9" fillId="7" borderId="44" xfId="2" applyFont="1" applyFill="1" applyBorder="1" applyAlignment="1">
      <alignment horizontal="left" vertical="center" wrapText="1"/>
    </xf>
    <xf numFmtId="0" fontId="9" fillId="7" borderId="14" xfId="2" applyFont="1" applyFill="1" applyBorder="1" applyAlignment="1">
      <alignment horizontal="left" vertical="center" wrapText="1"/>
    </xf>
    <xf numFmtId="0" fontId="9" fillId="7" borderId="43" xfId="2" applyFont="1" applyFill="1" applyBorder="1" applyAlignment="1">
      <alignment horizontal="left" vertical="center" wrapText="1"/>
    </xf>
    <xf numFmtId="0" fontId="9" fillId="7" borderId="10" xfId="2" applyFont="1" applyFill="1" applyBorder="1" applyAlignment="1">
      <alignment horizontal="left" vertical="center" wrapText="1"/>
    </xf>
    <xf numFmtId="0" fontId="4" fillId="10" borderId="13" xfId="3" applyFont="1" applyFill="1" applyBorder="1" applyAlignment="1">
      <alignment horizontal="left" vertical="center" wrapText="1"/>
    </xf>
    <xf numFmtId="0" fontId="4" fillId="10" borderId="14" xfId="3" applyFont="1" applyFill="1" applyBorder="1" applyAlignment="1">
      <alignment horizontal="left" vertical="center" wrapText="1"/>
    </xf>
    <xf numFmtId="0" fontId="4" fillId="10" borderId="44" xfId="3" applyFont="1" applyFill="1" applyBorder="1" applyAlignment="1">
      <alignment horizontal="left" vertical="center" wrapText="1"/>
    </xf>
    <xf numFmtId="0" fontId="7" fillId="10" borderId="13" xfId="0" applyFont="1" applyFill="1" applyBorder="1" applyAlignment="1">
      <alignment horizontal="center" vertical="center" wrapText="1"/>
    </xf>
    <xf numFmtId="0" fontId="7" fillId="10" borderId="44" xfId="0" applyFont="1" applyFill="1" applyBorder="1" applyAlignment="1">
      <alignment horizontal="center" vertical="center" wrapText="1"/>
    </xf>
    <xf numFmtId="0" fontId="7" fillId="10" borderId="14" xfId="0" applyFont="1" applyFill="1" applyBorder="1" applyAlignment="1">
      <alignment horizontal="center" vertical="center" wrapText="1"/>
    </xf>
    <xf numFmtId="0" fontId="12" fillId="10" borderId="29" xfId="0" applyFont="1" applyFill="1" applyBorder="1" applyAlignment="1">
      <alignment horizontal="center" vertical="center" wrapText="1"/>
    </xf>
    <xf numFmtId="0" fontId="6" fillId="10" borderId="18" xfId="0" applyFont="1" applyFill="1" applyBorder="1" applyAlignment="1">
      <alignment horizontal="center" vertical="center"/>
    </xf>
    <xf numFmtId="0" fontId="6" fillId="10" borderId="34" xfId="0" applyFont="1" applyFill="1" applyBorder="1" applyAlignment="1">
      <alignment horizontal="center" vertical="center"/>
    </xf>
    <xf numFmtId="0" fontId="12" fillId="10" borderId="31" xfId="0" applyFont="1" applyFill="1" applyBorder="1" applyAlignment="1">
      <alignment horizontal="center" vertical="center"/>
    </xf>
    <xf numFmtId="0" fontId="6" fillId="10" borderId="6" xfId="0" applyFont="1" applyFill="1" applyBorder="1" applyAlignment="1">
      <alignment horizontal="center" vertical="center"/>
    </xf>
    <xf numFmtId="0" fontId="6" fillId="10" borderId="38" xfId="0" applyFont="1" applyFill="1" applyBorder="1" applyAlignment="1">
      <alignment horizontal="center" vertical="center"/>
    </xf>
    <xf numFmtId="0" fontId="8" fillId="6" borderId="8" xfId="3" applyFont="1" applyFill="1" applyBorder="1" applyAlignment="1">
      <alignment horizontal="center" vertical="center" wrapText="1"/>
    </xf>
    <xf numFmtId="0" fontId="8" fillId="6" borderId="30" xfId="3" applyFont="1" applyFill="1" applyBorder="1" applyAlignment="1">
      <alignment horizontal="center" vertical="center" wrapText="1"/>
    </xf>
    <xf numFmtId="0" fontId="8" fillId="6" borderId="9" xfId="3" applyFont="1" applyFill="1" applyBorder="1" applyAlignment="1">
      <alignment horizontal="center" vertical="center" wrapText="1"/>
    </xf>
    <xf numFmtId="0" fontId="8" fillId="5" borderId="16" xfId="3" applyFont="1" applyFill="1" applyBorder="1" applyAlignment="1">
      <alignment horizontal="center" vertical="center"/>
    </xf>
    <xf numFmtId="0" fontId="8" fillId="5" borderId="32" xfId="3" applyFont="1" applyFill="1" applyBorder="1" applyAlignment="1">
      <alignment horizontal="center" vertical="center"/>
    </xf>
    <xf numFmtId="0" fontId="8" fillId="5" borderId="17" xfId="3" applyFont="1" applyFill="1" applyBorder="1" applyAlignment="1">
      <alignment horizontal="center" vertical="center"/>
    </xf>
    <xf numFmtId="0" fontId="7" fillId="10" borderId="8" xfId="3" applyFont="1" applyFill="1" applyBorder="1" applyAlignment="1">
      <alignment horizontal="center" vertical="center"/>
    </xf>
    <xf numFmtId="0" fontId="7" fillId="10" borderId="30" xfId="3" applyFont="1" applyFill="1" applyBorder="1" applyAlignment="1">
      <alignment horizontal="center" vertical="center"/>
    </xf>
    <xf numFmtId="0" fontId="7" fillId="10" borderId="30" xfId="0" applyFont="1" applyFill="1" applyBorder="1" applyAlignment="1">
      <alignment horizontal="center" vertical="center"/>
    </xf>
    <xf numFmtId="0" fontId="7" fillId="10" borderId="9" xfId="0" applyFont="1" applyFill="1" applyBorder="1" applyAlignment="1">
      <alignment horizontal="center" vertical="center"/>
    </xf>
    <xf numFmtId="0" fontId="7" fillId="10" borderId="2" xfId="3" applyFont="1" applyFill="1" applyBorder="1" applyAlignment="1">
      <alignment horizontal="center" vertical="center" wrapText="1"/>
    </xf>
    <xf numFmtId="0" fontId="7" fillId="10" borderId="4" xfId="0" applyFont="1" applyFill="1" applyBorder="1" applyAlignment="1">
      <alignment horizontal="center" vertical="center" wrapText="1"/>
    </xf>
    <xf numFmtId="0" fontId="7" fillId="10" borderId="20" xfId="3" applyFont="1" applyFill="1" applyBorder="1" applyAlignment="1">
      <alignment horizontal="center" vertical="center"/>
    </xf>
    <xf numFmtId="0" fontId="7" fillId="10" borderId="7" xfId="0" applyFont="1" applyFill="1" applyBorder="1" applyAlignment="1">
      <alignment horizontal="center" vertical="center"/>
    </xf>
    <xf numFmtId="0" fontId="7" fillId="10" borderId="33" xfId="3" applyFont="1" applyFill="1" applyBorder="1" applyAlignment="1">
      <alignment horizontal="center" vertical="center" wrapText="1"/>
    </xf>
    <xf numFmtId="0" fontId="7" fillId="10" borderId="40" xfId="0" applyFont="1" applyFill="1" applyBorder="1" applyAlignment="1">
      <alignment horizontal="center" vertical="center" wrapText="1"/>
    </xf>
    <xf numFmtId="0" fontId="4" fillId="5" borderId="20" xfId="3" applyFont="1" applyFill="1" applyBorder="1" applyAlignment="1">
      <alignment horizontal="center" vertical="center"/>
    </xf>
    <xf numFmtId="0" fontId="4" fillId="5" borderId="35" xfId="3" applyFont="1" applyFill="1" applyBorder="1" applyAlignment="1">
      <alignment horizontal="center" vertical="center"/>
    </xf>
    <xf numFmtId="0" fontId="4" fillId="5" borderId="33" xfId="3" applyFont="1" applyFill="1" applyBorder="1" applyAlignment="1">
      <alignment horizontal="center" vertical="center"/>
    </xf>
    <xf numFmtId="0" fontId="4" fillId="5" borderId="37" xfId="3" applyFont="1" applyFill="1" applyBorder="1" applyAlignment="1">
      <alignment horizontal="center" vertical="center"/>
    </xf>
    <xf numFmtId="0" fontId="7" fillId="10" borderId="21" xfId="3" applyFont="1" applyFill="1" applyBorder="1" applyAlignment="1">
      <alignment horizontal="center" vertical="center" wrapText="1"/>
    </xf>
    <xf numFmtId="0" fontId="7" fillId="10" borderId="3" xfId="3" applyFont="1" applyFill="1" applyBorder="1" applyAlignment="1">
      <alignment horizontal="center" vertical="center" wrapText="1"/>
    </xf>
    <xf numFmtId="0" fontId="7" fillId="10" borderId="3" xfId="0" applyFont="1" applyFill="1" applyBorder="1" applyAlignment="1">
      <alignment horizontal="center" vertical="center" wrapText="1"/>
    </xf>
    <xf numFmtId="0" fontId="7" fillId="10" borderId="4" xfId="3" applyFont="1" applyFill="1" applyBorder="1" applyAlignment="1">
      <alignment horizontal="center" vertical="center" wrapText="1"/>
    </xf>
    <xf numFmtId="0" fontId="4" fillId="5" borderId="19" xfId="3" applyFont="1" applyFill="1" applyBorder="1" applyAlignment="1">
      <alignment horizontal="center" vertical="center"/>
    </xf>
    <xf numFmtId="0" fontId="4" fillId="5" borderId="34" xfId="3" applyFont="1" applyFill="1" applyBorder="1" applyAlignment="1">
      <alignment horizontal="center" vertical="center"/>
    </xf>
    <xf numFmtId="0" fontId="4" fillId="6" borderId="21" xfId="3" applyFont="1" applyFill="1" applyBorder="1" applyAlignment="1">
      <alignment horizontal="center" vertical="center" wrapText="1"/>
    </xf>
    <xf numFmtId="0" fontId="5" fillId="6" borderId="13" xfId="3" applyFont="1" applyFill="1" applyBorder="1" applyAlignment="1" applyProtection="1">
      <alignment horizontal="left" vertical="center"/>
      <protection locked="0"/>
    </xf>
    <xf numFmtId="0" fontId="5" fillId="6" borderId="44" xfId="3" applyFont="1" applyFill="1" applyBorder="1" applyAlignment="1" applyProtection="1">
      <alignment horizontal="left" vertical="center"/>
      <protection locked="0"/>
    </xf>
    <xf numFmtId="0" fontId="4" fillId="10" borderId="22" xfId="4" applyFont="1" applyFill="1" applyBorder="1" applyAlignment="1">
      <alignment horizontal="left" vertical="center" wrapText="1"/>
    </xf>
    <xf numFmtId="0" fontId="4" fillId="10" borderId="23" xfId="4" applyFont="1" applyFill="1" applyBorder="1" applyAlignment="1">
      <alignment horizontal="left" vertical="center" wrapText="1"/>
    </xf>
    <xf numFmtId="0" fontId="4" fillId="10" borderId="24" xfId="4" applyFont="1" applyFill="1" applyBorder="1" applyAlignment="1">
      <alignment horizontal="left" vertical="center" wrapText="1"/>
    </xf>
    <xf numFmtId="0" fontId="6" fillId="10" borderId="15" xfId="2" applyFont="1" applyFill="1" applyBorder="1" applyAlignment="1">
      <alignment horizontal="left" vertical="center" wrapText="1"/>
    </xf>
    <xf numFmtId="0" fontId="6" fillId="10" borderId="1" xfId="2" applyFont="1" applyFill="1" applyBorder="1" applyAlignment="1">
      <alignment horizontal="left" vertical="center" wrapText="1"/>
    </xf>
    <xf numFmtId="0" fontId="6" fillId="10" borderId="25" xfId="2" applyFont="1" applyFill="1" applyBorder="1" applyAlignment="1">
      <alignment horizontal="left" vertical="center" wrapText="1"/>
    </xf>
    <xf numFmtId="0" fontId="6" fillId="10" borderId="26" xfId="2" applyFont="1" applyFill="1" applyBorder="1" applyAlignment="1">
      <alignment horizontal="left" vertical="center" wrapText="1"/>
    </xf>
    <xf numFmtId="0" fontId="6" fillId="10" borderId="27" xfId="2" applyFont="1" applyFill="1" applyBorder="1" applyAlignment="1">
      <alignment horizontal="left" vertical="center" wrapText="1"/>
    </xf>
    <xf numFmtId="0" fontId="6" fillId="10" borderId="28" xfId="2" applyFont="1" applyFill="1" applyBorder="1" applyAlignment="1">
      <alignment horizontal="left" vertical="center" wrapText="1"/>
    </xf>
    <xf numFmtId="0" fontId="4" fillId="10" borderId="15" xfId="4" applyFont="1" applyFill="1" applyBorder="1" applyAlignment="1">
      <alignment horizontal="left" vertical="center" wrapText="1"/>
    </xf>
    <xf numFmtId="0" fontId="4" fillId="10" borderId="1" xfId="4" applyFont="1" applyFill="1" applyBorder="1" applyAlignment="1">
      <alignment horizontal="left" vertical="center" wrapText="1"/>
    </xf>
    <xf numFmtId="0" fontId="4" fillId="10" borderId="25" xfId="4" applyFont="1" applyFill="1" applyBorder="1" applyAlignment="1">
      <alignment horizontal="left" vertical="center" wrapText="1"/>
    </xf>
    <xf numFmtId="0" fontId="6" fillId="10" borderId="11" xfId="2" applyFont="1" applyFill="1" applyBorder="1" applyAlignment="1">
      <alignment horizontal="left" vertical="center" wrapText="1"/>
    </xf>
    <xf numFmtId="0" fontId="6" fillId="10" borderId="41" xfId="2" applyFont="1" applyFill="1" applyBorder="1" applyAlignment="1">
      <alignment horizontal="left" vertical="center" wrapText="1"/>
    </xf>
    <xf numFmtId="0" fontId="6" fillId="10" borderId="12" xfId="2" applyFont="1" applyFill="1" applyBorder="1" applyAlignment="1">
      <alignment horizontal="left" vertical="center" wrapText="1"/>
    </xf>
    <xf numFmtId="0" fontId="5" fillId="5" borderId="8" xfId="3" applyFont="1" applyFill="1" applyBorder="1" applyAlignment="1" applyProtection="1">
      <alignment horizontal="left" vertical="center"/>
      <protection locked="0"/>
    </xf>
    <xf numFmtId="0" fontId="5" fillId="5" borderId="30" xfId="3" applyFont="1" applyFill="1" applyBorder="1" applyAlignment="1" applyProtection="1">
      <alignment horizontal="left" vertical="center"/>
      <protection locked="0"/>
    </xf>
    <xf numFmtId="0" fontId="4" fillId="10" borderId="49" xfId="4" applyFont="1" applyFill="1" applyBorder="1" applyAlignment="1">
      <alignment horizontal="left" vertical="center" wrapText="1"/>
    </xf>
    <xf numFmtId="0" fontId="4" fillId="10" borderId="50" xfId="4" applyFont="1" applyFill="1" applyBorder="1" applyAlignment="1">
      <alignment horizontal="left" vertical="center" wrapText="1"/>
    </xf>
    <xf numFmtId="0" fontId="4" fillId="10" borderId="0" xfId="4" applyFont="1" applyFill="1" applyAlignment="1">
      <alignment horizontal="left" vertical="center" wrapText="1"/>
    </xf>
    <xf numFmtId="0" fontId="4" fillId="10" borderId="51" xfId="4" applyFont="1" applyFill="1" applyBorder="1" applyAlignment="1">
      <alignment horizontal="left" vertical="center" wrapText="1"/>
    </xf>
    <xf numFmtId="0" fontId="4" fillId="10" borderId="10" xfId="4" applyFont="1" applyFill="1" applyBorder="1" applyAlignment="1">
      <alignment horizontal="left" vertical="center" wrapText="1"/>
    </xf>
    <xf numFmtId="0" fontId="4" fillId="10" borderId="47" xfId="4" applyFont="1" applyFill="1" applyBorder="1" applyAlignment="1">
      <alignment horizontal="left" vertical="center" wrapText="1"/>
    </xf>
    <xf numFmtId="0" fontId="4" fillId="0" borderId="52" xfId="3" applyFont="1" applyBorder="1" applyAlignment="1" applyProtection="1">
      <alignment horizontal="center" vertical="center"/>
      <protection locked="0"/>
    </xf>
    <xf numFmtId="0" fontId="4" fillId="0" borderId="48" xfId="3" applyFont="1" applyBorder="1" applyAlignment="1" applyProtection="1">
      <alignment horizontal="center" vertical="center"/>
      <protection locked="0"/>
    </xf>
    <xf numFmtId="0" fontId="4" fillId="0" borderId="53" xfId="3" applyFont="1" applyBorder="1" applyAlignment="1" applyProtection="1">
      <alignment horizontal="center" vertical="center"/>
      <protection locked="0"/>
    </xf>
    <xf numFmtId="0" fontId="4" fillId="10" borderId="22" xfId="3" applyFont="1" applyFill="1" applyBorder="1" applyAlignment="1">
      <alignment horizontal="left" vertical="center" wrapText="1"/>
    </xf>
    <xf numFmtId="0" fontId="4" fillId="10" borderId="23" xfId="3" applyFont="1" applyFill="1" applyBorder="1" applyAlignment="1">
      <alignment horizontal="left" vertical="center"/>
    </xf>
    <xf numFmtId="0" fontId="4" fillId="10" borderId="24" xfId="3" applyFont="1" applyFill="1" applyBorder="1" applyAlignment="1">
      <alignment horizontal="left" vertical="center"/>
    </xf>
    <xf numFmtId="0" fontId="4" fillId="10" borderId="15" xfId="3" applyFont="1" applyFill="1" applyBorder="1" applyAlignment="1">
      <alignment horizontal="left" vertical="center"/>
    </xf>
    <xf numFmtId="0" fontId="4" fillId="10" borderId="1" xfId="3" applyFont="1" applyFill="1" applyBorder="1" applyAlignment="1">
      <alignment horizontal="left" vertical="center"/>
    </xf>
    <xf numFmtId="0" fontId="4" fillId="10" borderId="25" xfId="3" applyFont="1" applyFill="1" applyBorder="1" applyAlignment="1">
      <alignment horizontal="left" vertical="center"/>
    </xf>
    <xf numFmtId="0" fontId="4" fillId="10" borderId="26" xfId="3" applyFont="1" applyFill="1" applyBorder="1" applyAlignment="1">
      <alignment horizontal="left" vertical="center"/>
    </xf>
    <xf numFmtId="0" fontId="4" fillId="10" borderId="27" xfId="3" applyFont="1" applyFill="1" applyBorder="1" applyAlignment="1">
      <alignment horizontal="left" vertical="center"/>
    </xf>
    <xf numFmtId="0" fontId="4" fillId="10" borderId="28" xfId="3" applyFont="1" applyFill="1" applyBorder="1" applyAlignment="1">
      <alignment horizontal="left" vertical="center"/>
    </xf>
    <xf numFmtId="0" fontId="4" fillId="10" borderId="16" xfId="3" applyFont="1" applyFill="1" applyBorder="1" applyAlignment="1" applyProtection="1">
      <alignment horizontal="left" vertical="center" wrapText="1"/>
      <protection locked="0"/>
    </xf>
    <xf numFmtId="0" fontId="4" fillId="10" borderId="32" xfId="3" applyFont="1" applyFill="1" applyBorder="1" applyAlignment="1" applyProtection="1">
      <alignment horizontal="left" vertical="center" wrapText="1"/>
      <protection locked="0"/>
    </xf>
    <xf numFmtId="0" fontId="4" fillId="10" borderId="17" xfId="3" applyFont="1" applyFill="1" applyBorder="1" applyAlignment="1" applyProtection="1">
      <alignment horizontal="left" vertical="center" wrapText="1"/>
      <protection locked="0"/>
    </xf>
    <xf numFmtId="0" fontId="4" fillId="10" borderId="43" xfId="3" applyFont="1" applyFill="1" applyBorder="1" applyAlignment="1" applyProtection="1">
      <alignment horizontal="left" vertical="center" wrapText="1"/>
      <protection locked="0"/>
    </xf>
    <xf numFmtId="0" fontId="4" fillId="10" borderId="10" xfId="3" applyFont="1" applyFill="1" applyBorder="1" applyAlignment="1" applyProtection="1">
      <alignment horizontal="left" vertical="center" wrapText="1"/>
      <protection locked="0"/>
    </xf>
    <xf numFmtId="0" fontId="4" fillId="10" borderId="47" xfId="3" applyFont="1" applyFill="1" applyBorder="1" applyAlignment="1" applyProtection="1">
      <alignment horizontal="left" vertical="center" wrapText="1"/>
      <protection locked="0"/>
    </xf>
    <xf numFmtId="0" fontId="7" fillId="0" borderId="44" xfId="3" applyFont="1" applyBorder="1" applyAlignment="1" applyProtection="1">
      <alignment horizontal="center" vertical="center"/>
      <protection locked="0"/>
    </xf>
    <xf numFmtId="0" fontId="7" fillId="0" borderId="48" xfId="3" applyFont="1" applyBorder="1" applyAlignment="1" applyProtection="1">
      <alignment horizontal="center"/>
      <protection locked="0"/>
    </xf>
    <xf numFmtId="0" fontId="13" fillId="8" borderId="26" xfId="3" applyFont="1" applyFill="1" applyBorder="1" applyAlignment="1">
      <alignment horizontal="center" vertical="center"/>
    </xf>
    <xf numFmtId="0" fontId="13" fillId="8" borderId="27" xfId="3" applyFont="1" applyFill="1" applyBorder="1" applyAlignment="1">
      <alignment horizontal="center" vertical="center"/>
    </xf>
    <xf numFmtId="0" fontId="9" fillId="7" borderId="16" xfId="2" applyFont="1" applyFill="1" applyBorder="1" applyAlignment="1">
      <alignment horizontal="center" vertical="center" wrapText="1"/>
    </xf>
    <xf numFmtId="0" fontId="9" fillId="7" borderId="32" xfId="2" applyFont="1" applyFill="1" applyBorder="1" applyAlignment="1">
      <alignment horizontal="center" vertical="center" wrapText="1"/>
    </xf>
    <xf numFmtId="0" fontId="9" fillId="7" borderId="43" xfId="2" applyFont="1" applyFill="1" applyBorder="1" applyAlignment="1">
      <alignment horizontal="center" vertical="center" wrapText="1"/>
    </xf>
    <xf numFmtId="0" fontId="9" fillId="7" borderId="10" xfId="2" applyFont="1" applyFill="1" applyBorder="1" applyAlignment="1">
      <alignment horizontal="center" vertical="center" wrapText="1"/>
    </xf>
    <xf numFmtId="0" fontId="4" fillId="10" borderId="22" xfId="4" applyFont="1" applyFill="1" applyBorder="1" applyAlignment="1">
      <alignment horizontal="left" vertical="center"/>
    </xf>
    <xf numFmtId="0" fontId="4" fillId="10" borderId="23" xfId="4" applyFont="1" applyFill="1" applyBorder="1" applyAlignment="1">
      <alignment horizontal="left" vertical="center"/>
    </xf>
    <xf numFmtId="0" fontId="4" fillId="10" borderId="24" xfId="4" applyFont="1" applyFill="1" applyBorder="1" applyAlignment="1">
      <alignment horizontal="left" vertical="center"/>
    </xf>
    <xf numFmtId="0" fontId="4" fillId="12" borderId="23" xfId="3" applyFont="1" applyFill="1" applyBorder="1" applyAlignment="1">
      <alignment horizontal="center" vertical="center"/>
    </xf>
    <xf numFmtId="0" fontId="13" fillId="9" borderId="23" xfId="3" applyFont="1" applyFill="1" applyBorder="1" applyAlignment="1">
      <alignment horizontal="center" vertical="center"/>
    </xf>
    <xf numFmtId="0" fontId="13" fillId="9" borderId="24" xfId="3" applyFont="1" applyFill="1" applyBorder="1" applyAlignment="1">
      <alignment horizontal="center" vertical="center"/>
    </xf>
    <xf numFmtId="0" fontId="6" fillId="10" borderId="27" xfId="0" applyFont="1" applyFill="1" applyBorder="1" applyAlignment="1">
      <alignment horizontal="center" vertical="center"/>
    </xf>
    <xf numFmtId="0" fontId="6" fillId="10" borderId="28" xfId="0" applyFont="1" applyFill="1" applyBorder="1" applyAlignment="1">
      <alignment horizontal="center" vertical="center"/>
    </xf>
    <xf numFmtId="0" fontId="16" fillId="0" borderId="32" xfId="0" applyFont="1" applyBorder="1" applyAlignment="1" applyProtection="1">
      <alignment horizontal="center" vertical="center"/>
      <protection locked="0"/>
    </xf>
    <xf numFmtId="0" fontId="16" fillId="0" borderId="0" xfId="0" applyFont="1" applyAlignment="1" applyProtection="1">
      <alignment horizontal="center" vertical="center"/>
      <protection locked="0"/>
    </xf>
    <xf numFmtId="0" fontId="7" fillId="0" borderId="32" xfId="3" applyFont="1" applyBorder="1" applyAlignment="1" applyProtection="1">
      <alignment horizontal="center" vertical="center"/>
      <protection locked="0"/>
    </xf>
    <xf numFmtId="0" fontId="4" fillId="11" borderId="22" xfId="3" applyFont="1" applyFill="1" applyBorder="1" applyAlignment="1">
      <alignment horizontal="center" vertical="center"/>
    </xf>
    <xf numFmtId="0" fontId="4" fillId="11" borderId="23" xfId="3" applyFont="1" applyFill="1" applyBorder="1" applyAlignment="1">
      <alignment horizontal="center" vertical="center"/>
    </xf>
    <xf numFmtId="165" fontId="14" fillId="13" borderId="27" xfId="3" applyNumberFormat="1" applyFont="1" applyFill="1" applyBorder="1" applyAlignment="1">
      <alignment horizontal="center" vertical="center"/>
    </xf>
    <xf numFmtId="0" fontId="9" fillId="7" borderId="17" xfId="2" applyFont="1" applyFill="1" applyBorder="1" applyAlignment="1">
      <alignment horizontal="center" vertical="center" wrapText="1"/>
    </xf>
    <xf numFmtId="0" fontId="9" fillId="7" borderId="47" xfId="2" applyFont="1" applyFill="1" applyBorder="1" applyAlignment="1">
      <alignment horizontal="center" vertical="center" wrapText="1"/>
    </xf>
    <xf numFmtId="0" fontId="4" fillId="11" borderId="45" xfId="3" applyFont="1" applyFill="1" applyBorder="1" applyAlignment="1">
      <alignment horizontal="center" vertical="center"/>
    </xf>
    <xf numFmtId="0" fontId="13" fillId="8" borderId="46" xfId="3" applyFont="1" applyFill="1" applyBorder="1" applyAlignment="1">
      <alignment horizontal="center" vertical="center"/>
    </xf>
    <xf numFmtId="0" fontId="4" fillId="10" borderId="22" xfId="3" applyFont="1" applyFill="1" applyBorder="1" applyAlignment="1">
      <alignment horizontal="left" vertical="top" wrapText="1"/>
    </xf>
    <xf numFmtId="0" fontId="4" fillId="10" borderId="23" xfId="3" applyFont="1" applyFill="1" applyBorder="1" applyAlignment="1">
      <alignment horizontal="left" vertical="top"/>
    </xf>
    <xf numFmtId="0" fontId="4" fillId="10" borderId="24" xfId="3" applyFont="1" applyFill="1" applyBorder="1" applyAlignment="1">
      <alignment horizontal="left" vertical="top"/>
    </xf>
    <xf numFmtId="0" fontId="4" fillId="10" borderId="15" xfId="3" applyFont="1" applyFill="1" applyBorder="1" applyAlignment="1">
      <alignment horizontal="left" vertical="top"/>
    </xf>
    <xf numFmtId="0" fontId="4" fillId="10" borderId="1" xfId="3" applyFont="1" applyFill="1" applyBorder="1" applyAlignment="1">
      <alignment horizontal="left" vertical="top"/>
    </xf>
    <xf numFmtId="0" fontId="4" fillId="10" borderId="25" xfId="3" applyFont="1" applyFill="1" applyBorder="1" applyAlignment="1">
      <alignment horizontal="left" vertical="top"/>
    </xf>
    <xf numFmtId="0" fontId="4" fillId="10" borderId="26" xfId="3" applyFont="1" applyFill="1" applyBorder="1" applyAlignment="1">
      <alignment horizontal="left" vertical="top"/>
    </xf>
    <xf numFmtId="0" fontId="4" fillId="10" borderId="27" xfId="3" applyFont="1" applyFill="1" applyBorder="1" applyAlignment="1">
      <alignment horizontal="left" vertical="top"/>
    </xf>
    <xf numFmtId="0" fontId="4" fillId="10" borderId="28" xfId="3" applyFont="1" applyFill="1" applyBorder="1" applyAlignment="1">
      <alignment horizontal="left" vertical="top"/>
    </xf>
    <xf numFmtId="0" fontId="16" fillId="0" borderId="0" xfId="1" applyFont="1" applyAlignment="1">
      <alignment horizontal="center" vertical="center" wrapText="1"/>
    </xf>
    <xf numFmtId="0" fontId="16" fillId="0" borderId="0" xfId="1" applyFont="1" applyAlignment="1">
      <alignment horizontal="center" vertical="center"/>
    </xf>
    <xf numFmtId="0" fontId="18" fillId="2" borderId="0" xfId="0" applyFont="1" applyFill="1" applyAlignment="1">
      <alignment horizontal="center" vertical="center" wrapText="1"/>
    </xf>
    <xf numFmtId="0" fontId="19" fillId="3" borderId="0" xfId="1" applyFont="1" applyFill="1" applyAlignment="1">
      <alignment horizontal="center" vertical="center" wrapText="1"/>
    </xf>
    <xf numFmtId="0" fontId="17" fillId="4" borderId="0" xfId="1" applyFont="1" applyFill="1" applyAlignment="1">
      <alignment horizontal="center" vertical="center" wrapText="1"/>
    </xf>
    <xf numFmtId="0" fontId="7" fillId="0" borderId="0" xfId="0" applyFont="1"/>
    <xf numFmtId="0" fontId="16" fillId="0" borderId="0" xfId="1" applyFont="1"/>
    <xf numFmtId="0" fontId="10" fillId="0" borderId="0" xfId="0" applyFont="1" applyAlignment="1">
      <alignment vertical="center" wrapText="1"/>
    </xf>
    <xf numFmtId="0" fontId="19" fillId="3" borderId="0" xfId="1" applyFont="1" applyFill="1"/>
    <xf numFmtId="164" fontId="19" fillId="3" borderId="0" xfId="1" applyNumberFormat="1" applyFont="1" applyFill="1"/>
    <xf numFmtId="1" fontId="19" fillId="3" borderId="0" xfId="1" applyNumberFormat="1" applyFont="1" applyFill="1" applyAlignment="1">
      <alignment horizontal="center" vertical="center"/>
    </xf>
    <xf numFmtId="0" fontId="17" fillId="4" borderId="0" xfId="1" applyFont="1" applyFill="1"/>
    <xf numFmtId="0" fontId="10" fillId="0" borderId="0" xfId="0" applyFont="1" applyAlignment="1">
      <alignment horizontal="center" vertical="center" wrapText="1"/>
    </xf>
    <xf numFmtId="0" fontId="19" fillId="3" borderId="0" xfId="1" applyFont="1" applyFill="1" applyAlignment="1">
      <alignment horizontal="center" vertical="center"/>
    </xf>
    <xf numFmtId="0" fontId="17" fillId="4" borderId="0" xfId="1" applyFont="1" applyFill="1" applyAlignment="1">
      <alignment horizontal="center" vertical="center"/>
    </xf>
    <xf numFmtId="0" fontId="7" fillId="0" borderId="0" xfId="0" applyFont="1" applyAlignment="1">
      <alignment horizontal="center" vertical="center"/>
    </xf>
    <xf numFmtId="0" fontId="17" fillId="4" borderId="0" xfId="0" applyFont="1" applyFill="1" applyAlignment="1">
      <alignment horizontal="center" vertical="center"/>
    </xf>
  </cellXfs>
  <cellStyles count="5">
    <cellStyle name="Normal" xfId="0" builtinId="0"/>
    <cellStyle name="Normal 2" xfId="1" xr:uid="{8289EEE8-B192-4DC6-B1CB-C71C62A1EAC4}"/>
    <cellStyle name="Normal 2 2" xfId="2" xr:uid="{EF085FDE-C7E2-4B6D-9655-DB6D4AF1DBDD}"/>
    <cellStyle name="Normal 3 2 2" xfId="4" xr:uid="{7CF1B7BC-6029-43DC-85DE-E14BF2322CAC}"/>
    <cellStyle name="Normal 4" xfId="3" xr:uid="{C3760C62-85FA-48B6-B4B8-5661565F2398}"/>
  </cellStyles>
  <dxfs count="21">
    <dxf>
      <fill>
        <patternFill patternType="solid"/>
      </fill>
    </dxf>
    <dxf>
      <fill>
        <patternFill patternType="solid"/>
      </fill>
    </dxf>
    <dxf>
      <fill>
        <patternFill patternType="solid"/>
      </fill>
    </dxf>
    <dxf>
      <fill>
        <patternFill patternType="solid"/>
      </fill>
    </dxf>
    <dxf>
      <fill>
        <patternFill patternType="solid"/>
      </fill>
    </dxf>
    <dxf>
      <fill>
        <patternFill patternType="solid"/>
      </fill>
    </dxf>
    <dxf>
      <fill>
        <patternFill patternType="darkUp"/>
      </fill>
    </dxf>
    <dxf>
      <fill>
        <patternFill patternType="solid"/>
      </fill>
    </dxf>
    <dxf>
      <fill>
        <patternFill patternType="solid"/>
      </fill>
    </dxf>
    <dxf>
      <fill>
        <patternFill patternType="solid"/>
      </fill>
    </dxf>
    <dxf>
      <fill>
        <patternFill patternType="solid"/>
      </fill>
    </dxf>
    <dxf>
      <fill>
        <patternFill patternType="solid"/>
      </fill>
    </dxf>
    <dxf>
      <fill>
        <patternFill patternType="solid"/>
      </fill>
    </dxf>
    <dxf>
      <fill>
        <patternFill patternType="darkUp"/>
      </fill>
    </dxf>
    <dxf>
      <fill>
        <patternFill patternType="solid"/>
      </fill>
    </dxf>
    <dxf>
      <fill>
        <patternFill patternType="solid"/>
      </fill>
    </dxf>
    <dxf>
      <fill>
        <patternFill patternType="solid"/>
      </fill>
    </dxf>
    <dxf>
      <fill>
        <patternFill patternType="solid"/>
      </fill>
    </dxf>
    <dxf>
      <fill>
        <patternFill patternType="solid"/>
      </fill>
    </dxf>
    <dxf>
      <fill>
        <patternFill patternType="solid"/>
      </fill>
    </dxf>
    <dxf>
      <fill>
        <patternFill patternType="darkUp"/>
      </fill>
    </dxf>
  </dxfs>
  <tableStyles count="0" defaultTableStyle="TableStyleMedium2" defaultPivotStyle="PivotStyleLight16"/>
  <colors>
    <mruColors>
      <color rgb="FFEDECE0"/>
      <color rgb="FFFBC5C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sheetMetadata" Target="metadata.xml"/><Relationship Id="rId5" Type="http://schemas.openxmlformats.org/officeDocument/2006/relationships/externalLink" Target="externalLinks/externalLink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sv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svg"/><Relationship Id="rId2" Type="http://schemas.openxmlformats.org/officeDocument/2006/relationships/image" Target="../media/image2.png"/><Relationship Id="rId16" Type="http://schemas.openxmlformats.org/officeDocument/2006/relationships/image" Target="../media/image16.sv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sv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sv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15</xdr:col>
      <xdr:colOff>119746</xdr:colOff>
      <xdr:row>2</xdr:row>
      <xdr:rowOff>186422</xdr:rowOff>
    </xdr:from>
    <xdr:to>
      <xdr:col>34</xdr:col>
      <xdr:colOff>500743</xdr:colOff>
      <xdr:row>5</xdr:row>
      <xdr:rowOff>74533</xdr:rowOff>
    </xdr:to>
    <xdr:pic>
      <xdr:nvPicPr>
        <xdr:cNvPr id="2" name="Picture 1">
          <a:extLst>
            <a:ext uri="{FF2B5EF4-FFF2-40B4-BE49-F238E27FC236}">
              <a16:creationId xmlns:a16="http://schemas.microsoft.com/office/drawing/2014/main" id="{7BCD27AB-3EBF-4A87-82C8-F2A25E2D30FD}"/>
            </a:ext>
          </a:extLst>
        </xdr:cNvPr>
        <xdr:cNvPicPr>
          <a:picLocks noChangeAspect="1"/>
        </xdr:cNvPicPr>
      </xdr:nvPicPr>
      <xdr:blipFill>
        <a:blip xmlns:r="http://schemas.openxmlformats.org/officeDocument/2006/relationships" r:embed="rId1"/>
        <a:stretch>
          <a:fillRect/>
        </a:stretch>
      </xdr:blipFill>
      <xdr:spPr>
        <a:xfrm>
          <a:off x="11635471" y="986522"/>
          <a:ext cx="10353672" cy="1221611"/>
        </a:xfrm>
        <a:prstGeom prst="rect">
          <a:avLst/>
        </a:prstGeom>
        <a:ln w="38100">
          <a:solidFill>
            <a:sysClr val="windowText" lastClr="000000"/>
          </a:solidFill>
        </a:ln>
      </xdr:spPr>
    </xdr:pic>
    <xdr:clientData/>
  </xdr:twoCellAnchor>
  <xdr:twoCellAnchor editAs="oneCell">
    <xdr:from>
      <xdr:col>15</xdr:col>
      <xdr:colOff>185056</xdr:colOff>
      <xdr:row>7</xdr:row>
      <xdr:rowOff>54429</xdr:rowOff>
    </xdr:from>
    <xdr:to>
      <xdr:col>26</xdr:col>
      <xdr:colOff>307404</xdr:colOff>
      <xdr:row>8</xdr:row>
      <xdr:rowOff>1012371</xdr:rowOff>
    </xdr:to>
    <xdr:pic>
      <xdr:nvPicPr>
        <xdr:cNvPr id="4" name="Picture 3">
          <a:extLst>
            <a:ext uri="{FF2B5EF4-FFF2-40B4-BE49-F238E27FC236}">
              <a16:creationId xmlns:a16="http://schemas.microsoft.com/office/drawing/2014/main" id="{F1CA4BA4-5539-4733-A174-D2FEA0FED2F2}"/>
            </a:ext>
          </a:extLst>
        </xdr:cNvPr>
        <xdr:cNvPicPr>
          <a:picLocks noChangeAspect="1"/>
        </xdr:cNvPicPr>
      </xdr:nvPicPr>
      <xdr:blipFill rotWithShape="1">
        <a:blip xmlns:r="http://schemas.openxmlformats.org/officeDocument/2006/relationships" r:embed="rId2"/>
        <a:srcRect l="46774" r="4723" b="56077"/>
        <a:stretch/>
      </xdr:blipFill>
      <xdr:spPr>
        <a:xfrm>
          <a:off x="11658599" y="2873829"/>
          <a:ext cx="5173319" cy="2002971"/>
        </a:xfrm>
        <a:prstGeom prst="rect">
          <a:avLst/>
        </a:prstGeom>
        <a:ln w="38100">
          <a:solidFill>
            <a:sysClr val="windowText" lastClr="000000"/>
          </a:solidFill>
        </a:ln>
      </xdr:spPr>
    </xdr:pic>
    <xdr:clientData/>
  </xdr:twoCellAnchor>
  <xdr:twoCellAnchor editAs="oneCell">
    <xdr:from>
      <xdr:col>15</xdr:col>
      <xdr:colOff>108859</xdr:colOff>
      <xdr:row>11</xdr:row>
      <xdr:rowOff>283029</xdr:rowOff>
    </xdr:from>
    <xdr:to>
      <xdr:col>31</xdr:col>
      <xdr:colOff>772886</xdr:colOff>
      <xdr:row>19</xdr:row>
      <xdr:rowOff>515579</xdr:rowOff>
    </xdr:to>
    <xdr:pic>
      <xdr:nvPicPr>
        <xdr:cNvPr id="10" name="Picture 9">
          <a:extLst>
            <a:ext uri="{FF2B5EF4-FFF2-40B4-BE49-F238E27FC236}">
              <a16:creationId xmlns:a16="http://schemas.microsoft.com/office/drawing/2014/main" id="{D60B2EF7-159D-443B-9577-22F81DDB8048}"/>
            </a:ext>
          </a:extLst>
        </xdr:cNvPr>
        <xdr:cNvPicPr>
          <a:picLocks noChangeAspect="1"/>
        </xdr:cNvPicPr>
      </xdr:nvPicPr>
      <xdr:blipFill>
        <a:blip xmlns:r="http://schemas.openxmlformats.org/officeDocument/2006/relationships" r:embed="rId3"/>
        <a:stretch>
          <a:fillRect/>
        </a:stretch>
      </xdr:blipFill>
      <xdr:spPr>
        <a:xfrm>
          <a:off x="11582402" y="6193972"/>
          <a:ext cx="8196941" cy="1887178"/>
        </a:xfrm>
        <a:prstGeom prst="rect">
          <a:avLst/>
        </a:prstGeom>
        <a:ln w="38100">
          <a:solidFill>
            <a:sysClr val="windowText" lastClr="000000"/>
          </a:solidFill>
        </a:ln>
      </xdr:spPr>
    </xdr:pic>
    <xdr:clientData/>
  </xdr:twoCellAnchor>
  <xdr:twoCellAnchor editAs="oneCell">
    <xdr:from>
      <xdr:col>15</xdr:col>
      <xdr:colOff>107498</xdr:colOff>
      <xdr:row>19</xdr:row>
      <xdr:rowOff>639537</xdr:rowOff>
    </xdr:from>
    <xdr:to>
      <xdr:col>24</xdr:col>
      <xdr:colOff>276174</xdr:colOff>
      <xdr:row>21</xdr:row>
      <xdr:rowOff>936527</xdr:rowOff>
    </xdr:to>
    <xdr:pic>
      <xdr:nvPicPr>
        <xdr:cNvPr id="12" name="Picture 11">
          <a:extLst>
            <a:ext uri="{FF2B5EF4-FFF2-40B4-BE49-F238E27FC236}">
              <a16:creationId xmlns:a16="http://schemas.microsoft.com/office/drawing/2014/main" id="{2D177C1E-DDAE-4A64-AA5D-174A03BC387F}"/>
            </a:ext>
          </a:extLst>
        </xdr:cNvPr>
        <xdr:cNvPicPr>
          <a:picLocks noChangeAspect="1"/>
        </xdr:cNvPicPr>
      </xdr:nvPicPr>
      <xdr:blipFill rotWithShape="1">
        <a:blip xmlns:r="http://schemas.openxmlformats.org/officeDocument/2006/relationships" r:embed="rId4"/>
        <a:srcRect l="40072"/>
        <a:stretch/>
      </xdr:blipFill>
      <xdr:spPr>
        <a:xfrm>
          <a:off x="11623223" y="8192862"/>
          <a:ext cx="4359676" cy="2278190"/>
        </a:xfrm>
        <a:prstGeom prst="rect">
          <a:avLst/>
        </a:prstGeom>
        <a:ln w="38100">
          <a:solidFill>
            <a:sysClr val="windowText" lastClr="000000"/>
          </a:solidFill>
        </a:ln>
      </xdr:spPr>
    </xdr:pic>
    <xdr:clientData/>
  </xdr:twoCellAnchor>
  <xdr:twoCellAnchor editAs="oneCell">
    <xdr:from>
      <xdr:col>1</xdr:col>
      <xdr:colOff>43543</xdr:colOff>
      <xdr:row>129</xdr:row>
      <xdr:rowOff>10887</xdr:rowOff>
    </xdr:from>
    <xdr:to>
      <xdr:col>14</xdr:col>
      <xdr:colOff>468015</xdr:colOff>
      <xdr:row>144</xdr:row>
      <xdr:rowOff>43542</xdr:rowOff>
    </xdr:to>
    <xdr:pic>
      <xdr:nvPicPr>
        <xdr:cNvPr id="17" name="Picture 16">
          <a:extLst>
            <a:ext uri="{FF2B5EF4-FFF2-40B4-BE49-F238E27FC236}">
              <a16:creationId xmlns:a16="http://schemas.microsoft.com/office/drawing/2014/main" id="{1BC7E8B1-46D6-4DE1-8282-4E21C00BD23E}"/>
            </a:ext>
          </a:extLst>
        </xdr:cNvPr>
        <xdr:cNvPicPr>
          <a:picLocks noChangeAspect="1"/>
        </xdr:cNvPicPr>
      </xdr:nvPicPr>
      <xdr:blipFill>
        <a:blip xmlns:r="http://schemas.openxmlformats.org/officeDocument/2006/relationships" r:embed="rId5"/>
        <a:stretch>
          <a:fillRect/>
        </a:stretch>
      </xdr:blipFill>
      <xdr:spPr>
        <a:xfrm>
          <a:off x="228600" y="14042573"/>
          <a:ext cx="11212215" cy="2971798"/>
        </a:xfrm>
        <a:prstGeom prst="rect">
          <a:avLst/>
        </a:prstGeom>
        <a:ln w="38100">
          <a:solidFill>
            <a:sysClr val="windowText" lastClr="000000"/>
          </a:solidFill>
        </a:ln>
      </xdr:spPr>
    </xdr:pic>
    <xdr:clientData/>
  </xdr:twoCellAnchor>
  <xdr:twoCellAnchor editAs="oneCell">
    <xdr:from>
      <xdr:col>0</xdr:col>
      <xdr:colOff>141515</xdr:colOff>
      <xdr:row>9</xdr:row>
      <xdr:rowOff>23135</xdr:rowOff>
    </xdr:from>
    <xdr:to>
      <xdr:col>15</xdr:col>
      <xdr:colOff>41557</xdr:colOff>
      <xdr:row>12</xdr:row>
      <xdr:rowOff>240849</xdr:rowOff>
    </xdr:to>
    <xdr:pic>
      <xdr:nvPicPr>
        <xdr:cNvPr id="21" name="Picture 20">
          <a:extLst>
            <a:ext uri="{FF2B5EF4-FFF2-40B4-BE49-F238E27FC236}">
              <a16:creationId xmlns:a16="http://schemas.microsoft.com/office/drawing/2014/main" id="{7E3E4526-C332-D8B6-73F5-72F4012DE370}"/>
            </a:ext>
          </a:extLst>
        </xdr:cNvPr>
        <xdr:cNvPicPr>
          <a:picLocks noChangeAspect="1"/>
        </xdr:cNvPicPr>
      </xdr:nvPicPr>
      <xdr:blipFill>
        <a:blip xmlns:r="http://schemas.openxmlformats.org/officeDocument/2006/relationships" r:embed="rId6"/>
        <a:stretch>
          <a:fillRect/>
        </a:stretch>
      </xdr:blipFill>
      <xdr:spPr>
        <a:xfrm>
          <a:off x="141515" y="4938035"/>
          <a:ext cx="11415767" cy="1798864"/>
        </a:xfrm>
        <a:prstGeom prst="rect">
          <a:avLst/>
        </a:prstGeom>
      </xdr:spPr>
    </xdr:pic>
    <xdr:clientData/>
  </xdr:twoCellAnchor>
  <xdr:twoCellAnchor>
    <xdr:from>
      <xdr:col>2</xdr:col>
      <xdr:colOff>478971</xdr:colOff>
      <xdr:row>8</xdr:row>
      <xdr:rowOff>849085</xdr:rowOff>
    </xdr:from>
    <xdr:to>
      <xdr:col>9</xdr:col>
      <xdr:colOff>10885</xdr:colOff>
      <xdr:row>11</xdr:row>
      <xdr:rowOff>576943</xdr:rowOff>
    </xdr:to>
    <xdr:cxnSp macro="">
      <xdr:nvCxnSpPr>
        <xdr:cNvPr id="23" name="Connector: Elbow 22">
          <a:extLst>
            <a:ext uri="{FF2B5EF4-FFF2-40B4-BE49-F238E27FC236}">
              <a16:creationId xmlns:a16="http://schemas.microsoft.com/office/drawing/2014/main" id="{37B3C032-0C71-50AB-71ED-FF3158582E78}"/>
            </a:ext>
          </a:extLst>
        </xdr:cNvPr>
        <xdr:cNvCxnSpPr/>
      </xdr:nvCxnSpPr>
      <xdr:spPr>
        <a:xfrm>
          <a:off x="4136571" y="4713514"/>
          <a:ext cx="4343400" cy="1774372"/>
        </a:xfrm>
        <a:prstGeom prst="bentConnector3">
          <a:avLst>
            <a:gd name="adj1" fmla="val 90852"/>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816429</xdr:colOff>
      <xdr:row>8</xdr:row>
      <xdr:rowOff>859969</xdr:rowOff>
    </xdr:from>
    <xdr:to>
      <xdr:col>8</xdr:col>
      <xdr:colOff>87086</xdr:colOff>
      <xdr:row>11</xdr:row>
      <xdr:rowOff>566057</xdr:rowOff>
    </xdr:to>
    <xdr:cxnSp macro="">
      <xdr:nvCxnSpPr>
        <xdr:cNvPr id="28" name="Connector: Elbow 27">
          <a:extLst>
            <a:ext uri="{FF2B5EF4-FFF2-40B4-BE49-F238E27FC236}">
              <a16:creationId xmlns:a16="http://schemas.microsoft.com/office/drawing/2014/main" id="{38E609C7-DE60-1805-D270-929DDAF9C394}"/>
            </a:ext>
          </a:extLst>
        </xdr:cNvPr>
        <xdr:cNvCxnSpPr/>
      </xdr:nvCxnSpPr>
      <xdr:spPr>
        <a:xfrm rot="10800000" flipV="1">
          <a:off x="4474029" y="4724398"/>
          <a:ext cx="3581400" cy="1752602"/>
        </a:xfrm>
        <a:prstGeom prst="bentConnector3">
          <a:avLst>
            <a:gd name="adj1" fmla="val 92857"/>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15</xdr:col>
      <xdr:colOff>108855</xdr:colOff>
      <xdr:row>22</xdr:row>
      <xdr:rowOff>43546</xdr:rowOff>
    </xdr:from>
    <xdr:to>
      <xdr:col>24</xdr:col>
      <xdr:colOff>97971</xdr:colOff>
      <xdr:row>24</xdr:row>
      <xdr:rowOff>2648</xdr:rowOff>
    </xdr:to>
    <xdr:pic>
      <xdr:nvPicPr>
        <xdr:cNvPr id="32" name="Picture 31">
          <a:extLst>
            <a:ext uri="{FF2B5EF4-FFF2-40B4-BE49-F238E27FC236}">
              <a16:creationId xmlns:a16="http://schemas.microsoft.com/office/drawing/2014/main" id="{D5CF1270-6534-415F-8860-0A1D4129FEA8}"/>
            </a:ext>
          </a:extLst>
        </xdr:cNvPr>
        <xdr:cNvPicPr>
          <a:picLocks noChangeAspect="1"/>
        </xdr:cNvPicPr>
      </xdr:nvPicPr>
      <xdr:blipFill rotWithShape="1">
        <a:blip xmlns:r="http://schemas.openxmlformats.org/officeDocument/2006/relationships" r:embed="rId2"/>
        <a:srcRect l="47696" t="43654"/>
        <a:stretch/>
      </xdr:blipFill>
      <xdr:spPr>
        <a:xfrm>
          <a:off x="11582398" y="10580917"/>
          <a:ext cx="4212773" cy="1940302"/>
        </a:xfrm>
        <a:prstGeom prst="rect">
          <a:avLst/>
        </a:prstGeom>
        <a:ln w="38100">
          <a:solidFill>
            <a:sysClr val="windowText" lastClr="000000"/>
          </a:solidFill>
        </a:ln>
      </xdr:spPr>
    </xdr:pic>
    <xdr:clientData/>
  </xdr:twoCellAnchor>
  <xdr:twoCellAnchor editAs="oneCell">
    <xdr:from>
      <xdr:col>3</xdr:col>
      <xdr:colOff>666750</xdr:colOff>
      <xdr:row>19</xdr:row>
      <xdr:rowOff>85725</xdr:rowOff>
    </xdr:from>
    <xdr:to>
      <xdr:col>3</xdr:col>
      <xdr:colOff>1123950</xdr:colOff>
      <xdr:row>19</xdr:row>
      <xdr:rowOff>542925</xdr:rowOff>
    </xdr:to>
    <xdr:pic>
      <xdr:nvPicPr>
        <xdr:cNvPr id="47" name="Graphic 46" descr="Badge 1 with solid fill">
          <a:extLst>
            <a:ext uri="{FF2B5EF4-FFF2-40B4-BE49-F238E27FC236}">
              <a16:creationId xmlns:a16="http://schemas.microsoft.com/office/drawing/2014/main" id="{B8F63542-F1BA-AB5E-A0C9-CD6A787D7C85}"/>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5476875" y="7639050"/>
          <a:ext cx="457200" cy="457200"/>
        </a:xfrm>
        <a:prstGeom prst="rect">
          <a:avLst/>
        </a:prstGeom>
      </xdr:spPr>
    </xdr:pic>
    <xdr:clientData/>
  </xdr:twoCellAnchor>
  <xdr:twoCellAnchor editAs="oneCell">
    <xdr:from>
      <xdr:col>21</xdr:col>
      <xdr:colOff>200025</xdr:colOff>
      <xdr:row>12</xdr:row>
      <xdr:rowOff>238125</xdr:rowOff>
    </xdr:from>
    <xdr:to>
      <xdr:col>22</xdr:col>
      <xdr:colOff>247650</xdr:colOff>
      <xdr:row>18</xdr:row>
      <xdr:rowOff>381000</xdr:rowOff>
    </xdr:to>
    <xdr:pic>
      <xdr:nvPicPr>
        <xdr:cNvPr id="48" name="Graphic 47" descr="Badge 1 with solid fill">
          <a:extLst>
            <a:ext uri="{FF2B5EF4-FFF2-40B4-BE49-F238E27FC236}">
              <a16:creationId xmlns:a16="http://schemas.microsoft.com/office/drawing/2014/main" id="{B2370CDC-CBB7-422D-9AD3-077139EA8B85}"/>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14125575" y="6734175"/>
          <a:ext cx="457200" cy="457200"/>
        </a:xfrm>
        <a:prstGeom prst="rect">
          <a:avLst/>
        </a:prstGeom>
      </xdr:spPr>
    </xdr:pic>
    <xdr:clientData/>
  </xdr:twoCellAnchor>
  <xdr:twoCellAnchor editAs="oneCell">
    <xdr:from>
      <xdr:col>3</xdr:col>
      <xdr:colOff>685800</xdr:colOff>
      <xdr:row>20</xdr:row>
      <xdr:rowOff>409575</xdr:rowOff>
    </xdr:from>
    <xdr:to>
      <xdr:col>3</xdr:col>
      <xdr:colOff>1143000</xdr:colOff>
      <xdr:row>20</xdr:row>
      <xdr:rowOff>866775</xdr:rowOff>
    </xdr:to>
    <xdr:pic>
      <xdr:nvPicPr>
        <xdr:cNvPr id="50" name="Graphic 49" descr="Badge with solid fill">
          <a:extLst>
            <a:ext uri="{FF2B5EF4-FFF2-40B4-BE49-F238E27FC236}">
              <a16:creationId xmlns:a16="http://schemas.microsoft.com/office/drawing/2014/main" id="{A7B48420-45D7-A16F-6AE3-E62624F3827B}"/>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5495925" y="8953500"/>
          <a:ext cx="457200" cy="457200"/>
        </a:xfrm>
        <a:prstGeom prst="rect">
          <a:avLst/>
        </a:prstGeom>
      </xdr:spPr>
    </xdr:pic>
    <xdr:clientData/>
  </xdr:twoCellAnchor>
  <xdr:twoCellAnchor editAs="oneCell">
    <xdr:from>
      <xdr:col>22</xdr:col>
      <xdr:colOff>457200</xdr:colOff>
      <xdr:row>21</xdr:row>
      <xdr:rowOff>400050</xdr:rowOff>
    </xdr:from>
    <xdr:to>
      <xdr:col>22</xdr:col>
      <xdr:colOff>914400</xdr:colOff>
      <xdr:row>21</xdr:row>
      <xdr:rowOff>857250</xdr:rowOff>
    </xdr:to>
    <xdr:pic>
      <xdr:nvPicPr>
        <xdr:cNvPr id="51" name="Graphic 50" descr="Badge with solid fill">
          <a:extLst>
            <a:ext uri="{FF2B5EF4-FFF2-40B4-BE49-F238E27FC236}">
              <a16:creationId xmlns:a16="http://schemas.microsoft.com/office/drawing/2014/main" id="{144E93F5-1C7A-456B-B79C-279A4806D8FE}"/>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14792325" y="9934575"/>
          <a:ext cx="457200" cy="457200"/>
        </a:xfrm>
        <a:prstGeom prst="rect">
          <a:avLst/>
        </a:prstGeom>
      </xdr:spPr>
    </xdr:pic>
    <xdr:clientData/>
  </xdr:twoCellAnchor>
  <xdr:twoCellAnchor editAs="oneCell">
    <xdr:from>
      <xdr:col>3</xdr:col>
      <xdr:colOff>695325</xdr:colOff>
      <xdr:row>21</xdr:row>
      <xdr:rowOff>638175</xdr:rowOff>
    </xdr:from>
    <xdr:to>
      <xdr:col>4</xdr:col>
      <xdr:colOff>0</xdr:colOff>
      <xdr:row>22</xdr:row>
      <xdr:rowOff>104775</xdr:rowOff>
    </xdr:to>
    <xdr:pic>
      <xdr:nvPicPr>
        <xdr:cNvPr id="53" name="Graphic 52" descr="Badge 3 with solid fill">
          <a:extLst>
            <a:ext uri="{FF2B5EF4-FFF2-40B4-BE49-F238E27FC236}">
              <a16:creationId xmlns:a16="http://schemas.microsoft.com/office/drawing/2014/main" id="{FD154426-41C5-42C1-AB1D-FF85CF5921FC}"/>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5505450" y="10172700"/>
          <a:ext cx="457200" cy="457200"/>
        </a:xfrm>
        <a:prstGeom prst="rect">
          <a:avLst/>
        </a:prstGeom>
      </xdr:spPr>
    </xdr:pic>
    <xdr:clientData/>
  </xdr:twoCellAnchor>
  <xdr:twoCellAnchor editAs="oneCell">
    <xdr:from>
      <xdr:col>22</xdr:col>
      <xdr:colOff>885825</xdr:colOff>
      <xdr:row>22</xdr:row>
      <xdr:rowOff>514350</xdr:rowOff>
    </xdr:from>
    <xdr:to>
      <xdr:col>23</xdr:col>
      <xdr:colOff>333375</xdr:colOff>
      <xdr:row>22</xdr:row>
      <xdr:rowOff>971550</xdr:rowOff>
    </xdr:to>
    <xdr:pic>
      <xdr:nvPicPr>
        <xdr:cNvPr id="54" name="Graphic 53" descr="Badge 3 with solid fill">
          <a:extLst>
            <a:ext uri="{FF2B5EF4-FFF2-40B4-BE49-F238E27FC236}">
              <a16:creationId xmlns:a16="http://schemas.microsoft.com/office/drawing/2014/main" id="{599349D4-5020-4943-AD5F-302D482ED985}"/>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15220950" y="11039475"/>
          <a:ext cx="457200" cy="457200"/>
        </a:xfrm>
        <a:prstGeom prst="rect">
          <a:avLst/>
        </a:prstGeom>
      </xdr:spPr>
    </xdr:pic>
    <xdr:clientData/>
  </xdr:twoCellAnchor>
  <xdr:twoCellAnchor editAs="oneCell">
    <xdr:from>
      <xdr:col>3</xdr:col>
      <xdr:colOff>685800</xdr:colOff>
      <xdr:row>22</xdr:row>
      <xdr:rowOff>276225</xdr:rowOff>
    </xdr:from>
    <xdr:to>
      <xdr:col>3</xdr:col>
      <xdr:colOff>1143000</xdr:colOff>
      <xdr:row>22</xdr:row>
      <xdr:rowOff>733425</xdr:rowOff>
    </xdr:to>
    <xdr:pic>
      <xdr:nvPicPr>
        <xdr:cNvPr id="56" name="Graphic 55" descr="Badge 4 with solid fill">
          <a:extLst>
            <a:ext uri="{FF2B5EF4-FFF2-40B4-BE49-F238E27FC236}">
              <a16:creationId xmlns:a16="http://schemas.microsoft.com/office/drawing/2014/main" id="{9C7FCA39-1F43-B41C-E837-050174F2602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a:off x="5495925" y="10801350"/>
          <a:ext cx="457200" cy="457200"/>
        </a:xfrm>
        <a:prstGeom prst="rect">
          <a:avLst/>
        </a:prstGeom>
      </xdr:spPr>
    </xdr:pic>
    <xdr:clientData/>
  </xdr:twoCellAnchor>
  <xdr:twoCellAnchor editAs="oneCell">
    <xdr:from>
      <xdr:col>22</xdr:col>
      <xdr:colOff>885825</xdr:colOff>
      <xdr:row>22</xdr:row>
      <xdr:rowOff>923925</xdr:rowOff>
    </xdr:from>
    <xdr:to>
      <xdr:col>23</xdr:col>
      <xdr:colOff>333375</xdr:colOff>
      <xdr:row>23</xdr:row>
      <xdr:rowOff>390525</xdr:rowOff>
    </xdr:to>
    <xdr:pic>
      <xdr:nvPicPr>
        <xdr:cNvPr id="57" name="Graphic 56" descr="Badge 4 with solid fill">
          <a:extLst>
            <a:ext uri="{FF2B5EF4-FFF2-40B4-BE49-F238E27FC236}">
              <a16:creationId xmlns:a16="http://schemas.microsoft.com/office/drawing/2014/main" id="{939A23F3-4EBF-4324-927B-B2AF4B5E4724}"/>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a:off x="15220950" y="11449050"/>
          <a:ext cx="457200" cy="457200"/>
        </a:xfrm>
        <a:prstGeom prst="rect">
          <a:avLst/>
        </a:prstGeom>
      </xdr:spPr>
    </xdr:pic>
    <xdr:clientData/>
  </xdr:twoCellAnchor>
  <xdr:twoCellAnchor editAs="oneCell">
    <xdr:from>
      <xdr:col>3</xdr:col>
      <xdr:colOff>695325</xdr:colOff>
      <xdr:row>23</xdr:row>
      <xdr:rowOff>409575</xdr:rowOff>
    </xdr:from>
    <xdr:to>
      <xdr:col>4</xdr:col>
      <xdr:colOff>0</xdr:colOff>
      <xdr:row>23</xdr:row>
      <xdr:rowOff>866775</xdr:rowOff>
    </xdr:to>
    <xdr:pic>
      <xdr:nvPicPr>
        <xdr:cNvPr id="59" name="Graphic 58" descr="Badge 5 with solid fill">
          <a:extLst>
            <a:ext uri="{FF2B5EF4-FFF2-40B4-BE49-F238E27FC236}">
              <a16:creationId xmlns:a16="http://schemas.microsoft.com/office/drawing/2014/main" id="{C7C0926F-218B-5AE8-B38F-BF1E074CD538}"/>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a:off x="5505450" y="11925300"/>
          <a:ext cx="457200" cy="457200"/>
        </a:xfrm>
        <a:prstGeom prst="rect">
          <a:avLst/>
        </a:prstGeom>
      </xdr:spPr>
    </xdr:pic>
    <xdr:clientData/>
  </xdr:twoCellAnchor>
  <xdr:twoCellAnchor editAs="oneCell">
    <xdr:from>
      <xdr:col>22</xdr:col>
      <xdr:colOff>9525</xdr:colOff>
      <xdr:row>23</xdr:row>
      <xdr:rowOff>123825</xdr:rowOff>
    </xdr:from>
    <xdr:to>
      <xdr:col>22</xdr:col>
      <xdr:colOff>466725</xdr:colOff>
      <xdr:row>23</xdr:row>
      <xdr:rowOff>581025</xdr:rowOff>
    </xdr:to>
    <xdr:pic>
      <xdr:nvPicPr>
        <xdr:cNvPr id="60" name="Graphic 59" descr="Badge 5 with solid fill">
          <a:extLst>
            <a:ext uri="{FF2B5EF4-FFF2-40B4-BE49-F238E27FC236}">
              <a16:creationId xmlns:a16="http://schemas.microsoft.com/office/drawing/2014/main" id="{CC0096D1-B753-43A3-BB50-431CBC1FA207}"/>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a:off x="14344650" y="11639550"/>
          <a:ext cx="457200" cy="457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740231</xdr:colOff>
      <xdr:row>6</xdr:row>
      <xdr:rowOff>10888</xdr:rowOff>
    </xdr:from>
    <xdr:to>
      <xdr:col>14</xdr:col>
      <xdr:colOff>184715</xdr:colOff>
      <xdr:row>9</xdr:row>
      <xdr:rowOff>69758</xdr:rowOff>
    </xdr:to>
    <xdr:pic>
      <xdr:nvPicPr>
        <xdr:cNvPr id="2" name="Picture 1">
          <a:extLst>
            <a:ext uri="{FF2B5EF4-FFF2-40B4-BE49-F238E27FC236}">
              <a16:creationId xmlns:a16="http://schemas.microsoft.com/office/drawing/2014/main" id="{D42FEBF3-BA6F-0B76-A812-151B44D84816}"/>
            </a:ext>
          </a:extLst>
        </xdr:cNvPr>
        <xdr:cNvPicPr>
          <a:picLocks noChangeAspect="1"/>
        </xdr:cNvPicPr>
      </xdr:nvPicPr>
      <xdr:blipFill>
        <a:blip xmlns:r="http://schemas.openxmlformats.org/officeDocument/2006/relationships" r:embed="rId1"/>
        <a:stretch>
          <a:fillRect/>
        </a:stretch>
      </xdr:blipFill>
      <xdr:spPr>
        <a:xfrm>
          <a:off x="7859488" y="1763488"/>
          <a:ext cx="8588484" cy="1005927"/>
        </a:xfrm>
        <a:prstGeom prst="rect">
          <a:avLst/>
        </a:prstGeom>
        <a:ln w="38100">
          <a:solidFill>
            <a:sysClr val="windowText" lastClr="000000"/>
          </a:solidFill>
        </a:ln>
      </xdr:spPr>
    </xdr:pic>
    <xdr:clientData/>
  </xdr:twoCellAnchor>
  <xdr:twoCellAnchor>
    <xdr:from>
      <xdr:col>1</xdr:col>
      <xdr:colOff>3194050</xdr:colOff>
      <xdr:row>8</xdr:row>
      <xdr:rowOff>63500</xdr:rowOff>
    </xdr:from>
    <xdr:to>
      <xdr:col>10</xdr:col>
      <xdr:colOff>590550</xdr:colOff>
      <xdr:row>8</xdr:row>
      <xdr:rowOff>222250</xdr:rowOff>
    </xdr:to>
    <xdr:sp macro="" textlink="">
      <xdr:nvSpPr>
        <xdr:cNvPr id="6" name="Arrow: Right 5">
          <a:extLst>
            <a:ext uri="{FF2B5EF4-FFF2-40B4-BE49-F238E27FC236}">
              <a16:creationId xmlns:a16="http://schemas.microsoft.com/office/drawing/2014/main" id="{55ABD1A7-D36A-7FF0-CC62-0B04B5287E33}"/>
            </a:ext>
          </a:extLst>
        </xdr:cNvPr>
        <xdr:cNvSpPr/>
      </xdr:nvSpPr>
      <xdr:spPr>
        <a:xfrm rot="10800000">
          <a:off x="3378200" y="2520950"/>
          <a:ext cx="9448800" cy="158750"/>
        </a:xfrm>
        <a:prstGeom prst="rightArrow">
          <a:avLst>
            <a:gd name="adj1" fmla="val 32609"/>
            <a:gd name="adj2" fmla="val 182053"/>
          </a:avLst>
        </a:prstGeom>
        <a:solidFill>
          <a:srgbClr val="FF0000"/>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xdr:col>
      <xdr:colOff>43543</xdr:colOff>
      <xdr:row>11</xdr:row>
      <xdr:rowOff>97972</xdr:rowOff>
    </xdr:from>
    <xdr:to>
      <xdr:col>12</xdr:col>
      <xdr:colOff>609600</xdr:colOff>
      <xdr:row>20</xdr:row>
      <xdr:rowOff>382106</xdr:rowOff>
    </xdr:to>
    <xdr:pic>
      <xdr:nvPicPr>
        <xdr:cNvPr id="13" name="Picture 12">
          <a:extLst>
            <a:ext uri="{FF2B5EF4-FFF2-40B4-BE49-F238E27FC236}">
              <a16:creationId xmlns:a16="http://schemas.microsoft.com/office/drawing/2014/main" id="{CC55554B-5D7D-3007-6CEA-5F81A37A7396}"/>
            </a:ext>
          </a:extLst>
        </xdr:cNvPr>
        <xdr:cNvPicPr>
          <a:picLocks noChangeAspect="1"/>
        </xdr:cNvPicPr>
      </xdr:nvPicPr>
      <xdr:blipFill>
        <a:blip xmlns:r="http://schemas.openxmlformats.org/officeDocument/2006/relationships" r:embed="rId2"/>
        <a:stretch>
          <a:fillRect/>
        </a:stretch>
      </xdr:blipFill>
      <xdr:spPr>
        <a:xfrm>
          <a:off x="6008914" y="3374572"/>
          <a:ext cx="9448800" cy="4039705"/>
        </a:xfrm>
        <a:prstGeom prst="rect">
          <a:avLst/>
        </a:prstGeom>
        <a:ln w="38100">
          <a:solidFill>
            <a:sysClr val="windowText" lastClr="000000"/>
          </a:solidFill>
        </a:ln>
      </xdr:spPr>
    </xdr:pic>
    <xdr:clientData/>
  </xdr:twoCellAnchor>
  <xdr:twoCellAnchor>
    <xdr:from>
      <xdr:col>1</xdr:col>
      <xdr:colOff>2862943</xdr:colOff>
      <xdr:row>11</xdr:row>
      <xdr:rowOff>174171</xdr:rowOff>
    </xdr:from>
    <xdr:to>
      <xdr:col>10</xdr:col>
      <xdr:colOff>435429</xdr:colOff>
      <xdr:row>13</xdr:row>
      <xdr:rowOff>228600</xdr:rowOff>
    </xdr:to>
    <xdr:cxnSp macro="">
      <xdr:nvCxnSpPr>
        <xdr:cNvPr id="10" name="Straight Arrow Connector 9">
          <a:extLst>
            <a:ext uri="{FF2B5EF4-FFF2-40B4-BE49-F238E27FC236}">
              <a16:creationId xmlns:a16="http://schemas.microsoft.com/office/drawing/2014/main" id="{C1D75426-37C7-CB68-84FD-CD7077B6B327}"/>
            </a:ext>
          </a:extLst>
        </xdr:cNvPr>
        <xdr:cNvCxnSpPr/>
      </xdr:nvCxnSpPr>
      <xdr:spPr>
        <a:xfrm>
          <a:off x="3048000" y="3450771"/>
          <a:ext cx="9655629" cy="816429"/>
        </a:xfrm>
        <a:prstGeom prst="straightConnector1">
          <a:avLst/>
        </a:prstGeom>
        <a:ln w="57150">
          <a:solidFill>
            <a:srgbClr val="FF0000"/>
          </a:solidFill>
          <a:tailEnd type="triangle"/>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xdr:col>
      <xdr:colOff>3254829</xdr:colOff>
      <xdr:row>14</xdr:row>
      <xdr:rowOff>54429</xdr:rowOff>
    </xdr:from>
    <xdr:to>
      <xdr:col>10</xdr:col>
      <xdr:colOff>337457</xdr:colOff>
      <xdr:row>15</xdr:row>
      <xdr:rowOff>174171</xdr:rowOff>
    </xdr:to>
    <xdr:cxnSp macro="">
      <xdr:nvCxnSpPr>
        <xdr:cNvPr id="12" name="Straight Arrow Connector 11">
          <a:extLst>
            <a:ext uri="{FF2B5EF4-FFF2-40B4-BE49-F238E27FC236}">
              <a16:creationId xmlns:a16="http://schemas.microsoft.com/office/drawing/2014/main" id="{0A2C9243-D707-6AE4-3249-BA7461541765}"/>
            </a:ext>
          </a:extLst>
        </xdr:cNvPr>
        <xdr:cNvCxnSpPr/>
      </xdr:nvCxnSpPr>
      <xdr:spPr>
        <a:xfrm flipV="1">
          <a:off x="3439886" y="4539343"/>
          <a:ext cx="9165771" cy="566057"/>
        </a:xfrm>
        <a:prstGeom prst="straightConnector1">
          <a:avLst/>
        </a:prstGeom>
        <a:ln w="57150">
          <a:solidFill>
            <a:srgbClr val="FF0000"/>
          </a:solidFill>
          <a:tailEnd type="triangle"/>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2</xdr:col>
      <xdr:colOff>936171</xdr:colOff>
      <xdr:row>17</xdr:row>
      <xdr:rowOff>239485</xdr:rowOff>
    </xdr:from>
    <xdr:to>
      <xdr:col>11</xdr:col>
      <xdr:colOff>544285</xdr:colOff>
      <xdr:row>18</xdr:row>
      <xdr:rowOff>250371</xdr:rowOff>
    </xdr:to>
    <xdr:cxnSp macro="">
      <xdr:nvCxnSpPr>
        <xdr:cNvPr id="17" name="Straight Arrow Connector 16">
          <a:extLst>
            <a:ext uri="{FF2B5EF4-FFF2-40B4-BE49-F238E27FC236}">
              <a16:creationId xmlns:a16="http://schemas.microsoft.com/office/drawing/2014/main" id="{6663B53C-B4B0-541A-BE20-4E7C83BB40FE}"/>
            </a:ext>
          </a:extLst>
        </xdr:cNvPr>
        <xdr:cNvCxnSpPr/>
      </xdr:nvCxnSpPr>
      <xdr:spPr>
        <a:xfrm flipV="1">
          <a:off x="4593771" y="5932714"/>
          <a:ext cx="9644743" cy="457200"/>
        </a:xfrm>
        <a:prstGeom prst="straightConnector1">
          <a:avLst/>
        </a:prstGeom>
        <a:ln w="57150">
          <a:solidFill>
            <a:srgbClr val="FF0000"/>
          </a:solidFill>
          <a:tailEnd type="triangle"/>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2</xdr:col>
      <xdr:colOff>859971</xdr:colOff>
      <xdr:row>18</xdr:row>
      <xdr:rowOff>272143</xdr:rowOff>
    </xdr:from>
    <xdr:to>
      <xdr:col>11</xdr:col>
      <xdr:colOff>555171</xdr:colOff>
      <xdr:row>19</xdr:row>
      <xdr:rowOff>228600</xdr:rowOff>
    </xdr:to>
    <xdr:cxnSp macro="">
      <xdr:nvCxnSpPr>
        <xdr:cNvPr id="18" name="Straight Arrow Connector 17">
          <a:extLst>
            <a:ext uri="{FF2B5EF4-FFF2-40B4-BE49-F238E27FC236}">
              <a16:creationId xmlns:a16="http://schemas.microsoft.com/office/drawing/2014/main" id="{9C732D39-A3DF-4162-AB84-28F815348BAA}"/>
            </a:ext>
          </a:extLst>
        </xdr:cNvPr>
        <xdr:cNvCxnSpPr/>
      </xdr:nvCxnSpPr>
      <xdr:spPr>
        <a:xfrm flipV="1">
          <a:off x="4517571" y="6411686"/>
          <a:ext cx="9731829" cy="402771"/>
        </a:xfrm>
        <a:prstGeom prst="straightConnector1">
          <a:avLst/>
        </a:prstGeom>
        <a:ln w="57150">
          <a:solidFill>
            <a:srgbClr val="FF0000"/>
          </a:solidFill>
          <a:tailEnd type="triangle"/>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2</xdr:col>
      <xdr:colOff>892628</xdr:colOff>
      <xdr:row>19</xdr:row>
      <xdr:rowOff>87086</xdr:rowOff>
    </xdr:from>
    <xdr:to>
      <xdr:col>11</xdr:col>
      <xdr:colOff>544285</xdr:colOff>
      <xdr:row>20</xdr:row>
      <xdr:rowOff>228600</xdr:rowOff>
    </xdr:to>
    <xdr:cxnSp macro="">
      <xdr:nvCxnSpPr>
        <xdr:cNvPr id="20" name="Straight Arrow Connector 19">
          <a:extLst>
            <a:ext uri="{FF2B5EF4-FFF2-40B4-BE49-F238E27FC236}">
              <a16:creationId xmlns:a16="http://schemas.microsoft.com/office/drawing/2014/main" id="{185A4967-28EE-4143-BE8B-54C514B5AD1B}"/>
            </a:ext>
          </a:extLst>
        </xdr:cNvPr>
        <xdr:cNvCxnSpPr/>
      </xdr:nvCxnSpPr>
      <xdr:spPr>
        <a:xfrm flipV="1">
          <a:off x="4550228" y="6672943"/>
          <a:ext cx="9688286" cy="587828"/>
        </a:xfrm>
        <a:prstGeom prst="straightConnector1">
          <a:avLst/>
        </a:prstGeom>
        <a:ln w="57150">
          <a:solidFill>
            <a:srgbClr val="FF0000"/>
          </a:solidFill>
          <a:tailEnd type="triangle"/>
        </a:ln>
      </xdr:spPr>
      <xdr:style>
        <a:lnRef idx="3">
          <a:schemeClr val="accent2"/>
        </a:lnRef>
        <a:fillRef idx="0">
          <a:schemeClr val="accent2"/>
        </a:fillRef>
        <a:effectRef idx="2">
          <a:schemeClr val="accent2"/>
        </a:effectRef>
        <a:fontRef idx="minor">
          <a:schemeClr val="tx1"/>
        </a:fontRef>
      </xdr:style>
    </xdr:cxnSp>
    <xdr:clientData/>
  </xdr:twoCellAnchor>
  <xdr:twoCellAnchor editAs="oneCell">
    <xdr:from>
      <xdr:col>12</xdr:col>
      <xdr:colOff>642259</xdr:colOff>
      <xdr:row>10</xdr:row>
      <xdr:rowOff>43355</xdr:rowOff>
    </xdr:from>
    <xdr:to>
      <xdr:col>31</xdr:col>
      <xdr:colOff>642259</xdr:colOff>
      <xdr:row>15</xdr:row>
      <xdr:rowOff>290886</xdr:rowOff>
    </xdr:to>
    <xdr:pic>
      <xdr:nvPicPr>
        <xdr:cNvPr id="28" name="Picture 27">
          <a:extLst>
            <a:ext uri="{FF2B5EF4-FFF2-40B4-BE49-F238E27FC236}">
              <a16:creationId xmlns:a16="http://schemas.microsoft.com/office/drawing/2014/main" id="{F3AED5F5-B477-A79F-C4D8-C94666FE560A}"/>
            </a:ext>
          </a:extLst>
        </xdr:cNvPr>
        <xdr:cNvPicPr>
          <a:picLocks noChangeAspect="1"/>
        </xdr:cNvPicPr>
      </xdr:nvPicPr>
      <xdr:blipFill>
        <a:blip xmlns:r="http://schemas.openxmlformats.org/officeDocument/2006/relationships" r:embed="rId3"/>
        <a:stretch>
          <a:fillRect/>
        </a:stretch>
      </xdr:blipFill>
      <xdr:spPr>
        <a:xfrm>
          <a:off x="15490373" y="2938955"/>
          <a:ext cx="9916886" cy="2283160"/>
        </a:xfrm>
        <a:prstGeom prst="rect">
          <a:avLst/>
        </a:prstGeom>
        <a:ln w="38100">
          <a:solidFill>
            <a:sysClr val="windowText" lastClr="000000"/>
          </a:solidFill>
        </a:ln>
      </xdr:spPr>
    </xdr:pic>
    <xdr:clientData/>
  </xdr:twoCellAnchor>
  <xdr:twoCellAnchor>
    <xdr:from>
      <xdr:col>2</xdr:col>
      <xdr:colOff>54429</xdr:colOff>
      <xdr:row>16</xdr:row>
      <xdr:rowOff>21772</xdr:rowOff>
    </xdr:from>
    <xdr:to>
      <xdr:col>2</xdr:col>
      <xdr:colOff>1055914</xdr:colOff>
      <xdr:row>17</xdr:row>
      <xdr:rowOff>413657</xdr:rowOff>
    </xdr:to>
    <xdr:sp macro="" textlink="">
      <xdr:nvSpPr>
        <xdr:cNvPr id="29" name="Rectangle 28">
          <a:extLst>
            <a:ext uri="{FF2B5EF4-FFF2-40B4-BE49-F238E27FC236}">
              <a16:creationId xmlns:a16="http://schemas.microsoft.com/office/drawing/2014/main" id="{DDD95460-A59F-3BC3-51CE-0DE078B51B8C}"/>
            </a:ext>
          </a:extLst>
        </xdr:cNvPr>
        <xdr:cNvSpPr/>
      </xdr:nvSpPr>
      <xdr:spPr>
        <a:xfrm>
          <a:off x="3712029" y="5268686"/>
          <a:ext cx="1001485" cy="838200"/>
        </a:xfrm>
        <a:prstGeom prst="rect">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12</xdr:col>
      <xdr:colOff>631371</xdr:colOff>
      <xdr:row>16</xdr:row>
      <xdr:rowOff>119742</xdr:rowOff>
    </xdr:from>
    <xdr:to>
      <xdr:col>30</xdr:col>
      <xdr:colOff>266550</xdr:colOff>
      <xdr:row>23</xdr:row>
      <xdr:rowOff>159219</xdr:rowOff>
    </xdr:to>
    <xdr:pic>
      <xdr:nvPicPr>
        <xdr:cNvPr id="30" name="Picture 29">
          <a:extLst>
            <a:ext uri="{FF2B5EF4-FFF2-40B4-BE49-F238E27FC236}">
              <a16:creationId xmlns:a16="http://schemas.microsoft.com/office/drawing/2014/main" id="{4ADE1767-512D-2EB8-663B-71E8CC5923D9}"/>
            </a:ext>
          </a:extLst>
        </xdr:cNvPr>
        <xdr:cNvPicPr>
          <a:picLocks noChangeAspect="1"/>
        </xdr:cNvPicPr>
      </xdr:nvPicPr>
      <xdr:blipFill>
        <a:blip xmlns:r="http://schemas.openxmlformats.org/officeDocument/2006/relationships" r:embed="rId4"/>
        <a:stretch>
          <a:fillRect/>
        </a:stretch>
      </xdr:blipFill>
      <xdr:spPr>
        <a:xfrm>
          <a:off x="15479485" y="5366656"/>
          <a:ext cx="9127522" cy="2837106"/>
        </a:xfrm>
        <a:prstGeom prst="rect">
          <a:avLst/>
        </a:prstGeom>
        <a:ln w="38100">
          <a:solidFill>
            <a:sysClr val="windowText" lastClr="000000"/>
          </a:solidFill>
        </a:ln>
      </xdr:spPr>
    </xdr:pic>
    <xdr:clientData/>
  </xdr:twoCellAnchor>
  <xdr:twoCellAnchor>
    <xdr:from>
      <xdr:col>19</xdr:col>
      <xdr:colOff>97972</xdr:colOff>
      <xdr:row>11</xdr:row>
      <xdr:rowOff>43543</xdr:rowOff>
    </xdr:from>
    <xdr:to>
      <xdr:col>30</xdr:col>
      <xdr:colOff>348343</xdr:colOff>
      <xdr:row>14</xdr:row>
      <xdr:rowOff>97972</xdr:rowOff>
    </xdr:to>
    <xdr:sp macro="" textlink="">
      <xdr:nvSpPr>
        <xdr:cNvPr id="31" name="Rectangle 30">
          <a:extLst>
            <a:ext uri="{FF2B5EF4-FFF2-40B4-BE49-F238E27FC236}">
              <a16:creationId xmlns:a16="http://schemas.microsoft.com/office/drawing/2014/main" id="{2374E1F4-0D6C-4663-B405-6F98B4808C90}"/>
            </a:ext>
          </a:extLst>
        </xdr:cNvPr>
        <xdr:cNvSpPr/>
      </xdr:nvSpPr>
      <xdr:spPr>
        <a:xfrm>
          <a:off x="19006458" y="3320143"/>
          <a:ext cx="5682342" cy="1262743"/>
        </a:xfrm>
        <a:prstGeom prst="rect">
          <a:avLst/>
        </a:prstGeom>
        <a:noFill/>
        <a:ln w="762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19</xdr:col>
      <xdr:colOff>141513</xdr:colOff>
      <xdr:row>20</xdr:row>
      <xdr:rowOff>293915</xdr:rowOff>
    </xdr:from>
    <xdr:to>
      <xdr:col>26</xdr:col>
      <xdr:colOff>925285</xdr:colOff>
      <xdr:row>22</xdr:row>
      <xdr:rowOff>195944</xdr:rowOff>
    </xdr:to>
    <xdr:sp macro="" textlink="">
      <xdr:nvSpPr>
        <xdr:cNvPr id="32" name="Rectangle 31">
          <a:extLst>
            <a:ext uri="{FF2B5EF4-FFF2-40B4-BE49-F238E27FC236}">
              <a16:creationId xmlns:a16="http://schemas.microsoft.com/office/drawing/2014/main" id="{43992565-7B4E-404C-BC48-5C8A0FC1F405}"/>
            </a:ext>
          </a:extLst>
        </xdr:cNvPr>
        <xdr:cNvSpPr/>
      </xdr:nvSpPr>
      <xdr:spPr>
        <a:xfrm>
          <a:off x="19049999" y="7326086"/>
          <a:ext cx="4158343" cy="664029"/>
        </a:xfrm>
        <a:prstGeom prst="rect">
          <a:avLst/>
        </a:prstGeom>
        <a:noFill/>
        <a:ln w="762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1055914</xdr:colOff>
      <xdr:row>16</xdr:row>
      <xdr:rowOff>103415</xdr:rowOff>
    </xdr:from>
    <xdr:to>
      <xdr:col>22</xdr:col>
      <xdr:colOff>522514</xdr:colOff>
      <xdr:row>16</xdr:row>
      <xdr:rowOff>141515</xdr:rowOff>
    </xdr:to>
    <xdr:cxnSp macro="">
      <xdr:nvCxnSpPr>
        <xdr:cNvPr id="34" name="Straight Connector 33">
          <a:extLst>
            <a:ext uri="{FF2B5EF4-FFF2-40B4-BE49-F238E27FC236}">
              <a16:creationId xmlns:a16="http://schemas.microsoft.com/office/drawing/2014/main" id="{118C8323-649C-4053-A216-5D1C48A8716B}"/>
            </a:ext>
          </a:extLst>
        </xdr:cNvPr>
        <xdr:cNvCxnSpPr/>
      </xdr:nvCxnSpPr>
      <xdr:spPr>
        <a:xfrm>
          <a:off x="4713514" y="5350329"/>
          <a:ext cx="15882257" cy="38100"/>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544286</xdr:colOff>
      <xdr:row>14</xdr:row>
      <xdr:rowOff>97972</xdr:rowOff>
    </xdr:from>
    <xdr:to>
      <xdr:col>22</xdr:col>
      <xdr:colOff>544286</xdr:colOff>
      <xdr:row>20</xdr:row>
      <xdr:rowOff>315686</xdr:rowOff>
    </xdr:to>
    <xdr:cxnSp macro="">
      <xdr:nvCxnSpPr>
        <xdr:cNvPr id="36" name="Straight Connector 35">
          <a:extLst>
            <a:ext uri="{FF2B5EF4-FFF2-40B4-BE49-F238E27FC236}">
              <a16:creationId xmlns:a16="http://schemas.microsoft.com/office/drawing/2014/main" id="{E84D75FC-2228-49F2-F7D6-91E805D514AC}"/>
            </a:ext>
          </a:extLst>
        </xdr:cNvPr>
        <xdr:cNvCxnSpPr/>
      </xdr:nvCxnSpPr>
      <xdr:spPr>
        <a:xfrm>
          <a:off x="20617543" y="4582886"/>
          <a:ext cx="0" cy="2764971"/>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xdr:col>
      <xdr:colOff>21771</xdr:colOff>
      <xdr:row>21</xdr:row>
      <xdr:rowOff>54429</xdr:rowOff>
    </xdr:from>
    <xdr:to>
      <xdr:col>12</xdr:col>
      <xdr:colOff>256657</xdr:colOff>
      <xdr:row>128</xdr:row>
      <xdr:rowOff>174172</xdr:rowOff>
    </xdr:to>
    <xdr:pic>
      <xdr:nvPicPr>
        <xdr:cNvPr id="38" name="Picture 37">
          <a:extLst>
            <a:ext uri="{FF2B5EF4-FFF2-40B4-BE49-F238E27FC236}">
              <a16:creationId xmlns:a16="http://schemas.microsoft.com/office/drawing/2014/main" id="{FDCC961C-5105-7152-388A-FE991AEBA1E3}"/>
            </a:ext>
          </a:extLst>
        </xdr:cNvPr>
        <xdr:cNvPicPr>
          <a:picLocks noChangeAspect="1"/>
        </xdr:cNvPicPr>
      </xdr:nvPicPr>
      <xdr:blipFill>
        <a:blip xmlns:r="http://schemas.openxmlformats.org/officeDocument/2006/relationships" r:embed="rId5"/>
        <a:stretch>
          <a:fillRect/>
        </a:stretch>
      </xdr:blipFill>
      <xdr:spPr>
        <a:xfrm>
          <a:off x="5987142" y="7532915"/>
          <a:ext cx="9117629" cy="2416628"/>
        </a:xfrm>
        <a:prstGeom prst="rect">
          <a:avLst/>
        </a:prstGeom>
        <a:ln w="38100">
          <a:solidFill>
            <a:sysClr val="windowText" lastClr="000000"/>
          </a:solidFill>
        </a:ln>
      </xdr:spPr>
    </xdr:pic>
    <xdr:clientData/>
  </xdr:twoCellAnchor>
  <xdr:twoCellAnchor>
    <xdr:from>
      <xdr:col>2</xdr:col>
      <xdr:colOff>849086</xdr:colOff>
      <xdr:row>22</xdr:row>
      <xdr:rowOff>119743</xdr:rowOff>
    </xdr:from>
    <xdr:to>
      <xdr:col>11</xdr:col>
      <xdr:colOff>217714</xdr:colOff>
      <xdr:row>123</xdr:row>
      <xdr:rowOff>152400</xdr:rowOff>
    </xdr:to>
    <xdr:cxnSp macro="">
      <xdr:nvCxnSpPr>
        <xdr:cNvPr id="39" name="Straight Arrow Connector 38">
          <a:extLst>
            <a:ext uri="{FF2B5EF4-FFF2-40B4-BE49-F238E27FC236}">
              <a16:creationId xmlns:a16="http://schemas.microsoft.com/office/drawing/2014/main" id="{781D4602-DBC9-4932-92B8-B84F54421F14}"/>
            </a:ext>
          </a:extLst>
        </xdr:cNvPr>
        <xdr:cNvCxnSpPr/>
      </xdr:nvCxnSpPr>
      <xdr:spPr>
        <a:xfrm>
          <a:off x="4506686" y="7913914"/>
          <a:ext cx="9405257" cy="1034143"/>
        </a:xfrm>
        <a:prstGeom prst="straightConnector1">
          <a:avLst/>
        </a:prstGeom>
        <a:ln w="57150">
          <a:solidFill>
            <a:srgbClr val="FF0000"/>
          </a:solidFill>
          <a:tailEnd type="triangle"/>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2</xdr:col>
      <xdr:colOff>903514</xdr:colOff>
      <xdr:row>24</xdr:row>
      <xdr:rowOff>119743</xdr:rowOff>
    </xdr:from>
    <xdr:to>
      <xdr:col>11</xdr:col>
      <xdr:colOff>250371</xdr:colOff>
      <xdr:row>126</xdr:row>
      <xdr:rowOff>10885</xdr:rowOff>
    </xdr:to>
    <xdr:cxnSp macro="">
      <xdr:nvCxnSpPr>
        <xdr:cNvPr id="41" name="Straight Arrow Connector 40">
          <a:extLst>
            <a:ext uri="{FF2B5EF4-FFF2-40B4-BE49-F238E27FC236}">
              <a16:creationId xmlns:a16="http://schemas.microsoft.com/office/drawing/2014/main" id="{364CDFF4-6643-4FF6-A78A-7D8C8951E32D}"/>
            </a:ext>
          </a:extLst>
        </xdr:cNvPr>
        <xdr:cNvCxnSpPr/>
      </xdr:nvCxnSpPr>
      <xdr:spPr>
        <a:xfrm>
          <a:off x="4561114" y="8414657"/>
          <a:ext cx="9383486" cy="979714"/>
        </a:xfrm>
        <a:prstGeom prst="straightConnector1">
          <a:avLst/>
        </a:prstGeom>
        <a:ln w="57150">
          <a:solidFill>
            <a:srgbClr val="FF0000"/>
          </a:solidFill>
          <a:tailEnd type="triangle"/>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8</xdr:col>
      <xdr:colOff>435427</xdr:colOff>
      <xdr:row>23</xdr:row>
      <xdr:rowOff>54428</xdr:rowOff>
    </xdr:from>
    <xdr:to>
      <xdr:col>11</xdr:col>
      <xdr:colOff>1099457</xdr:colOff>
      <xdr:row>24</xdr:row>
      <xdr:rowOff>65315</xdr:rowOff>
    </xdr:to>
    <xdr:sp macro="" textlink="">
      <xdr:nvSpPr>
        <xdr:cNvPr id="44" name="Rectangle 43">
          <a:extLst>
            <a:ext uri="{FF2B5EF4-FFF2-40B4-BE49-F238E27FC236}">
              <a16:creationId xmlns:a16="http://schemas.microsoft.com/office/drawing/2014/main" id="{354639AF-D339-4F36-B057-6821C1575EBA}"/>
            </a:ext>
          </a:extLst>
        </xdr:cNvPr>
        <xdr:cNvSpPr/>
      </xdr:nvSpPr>
      <xdr:spPr>
        <a:xfrm>
          <a:off x="10123713" y="8098971"/>
          <a:ext cx="4669973" cy="261258"/>
        </a:xfrm>
        <a:prstGeom prst="rect">
          <a:avLst/>
        </a:prstGeom>
        <a:noFill/>
        <a:ln w="762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jorte\Phius%20Dropbox\PHIUS%20Shared\Certification\Project%20Certification\01_Calculators_Protocol\Excel\01_Calculators%20-%20Master%20List.xlsx" TargetMode="External"/><Relationship Id="rId1" Type="http://schemas.openxmlformats.org/officeDocument/2006/relationships/externalLinkPath" Target="01_Calculators%20-%20Master%20Lis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Users/jpsor/Dropbox%20(PHIUS)/PHIUS%20Shared/Certification%20Team/Project%20Certification/01_Calculators_Protocol/Excel/Calculators%20-%20Master%20List.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BACK%20UP%20FOR%20SSD%20-%20desktop/Passive%20Energy%20Designs/Projects/PHIUS%20files/Projects/PHIUS%20-%20VertdesignInc/THERM/101103%20fairview%20exampl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emperature Reduction Factor"/>
      <sheetName val="Non-Res DHW"/>
      <sheetName val="Supply Air Temp"/>
      <sheetName val="HPWH outside"/>
      <sheetName val="Convert cfm50 to cfm75"/>
      <sheetName val="Dryer Inputs"/>
      <sheetName val="Deep Footing"/>
      <sheetName val="NFRC - Window Calculation"/>
      <sheetName val="ERV Outside Thermal Envelope"/>
      <sheetName val="Multiple Heat Pumps"/>
      <sheetName val="Estimate FCU run-times"/>
      <sheetName val="Pool Calc (Outdoor)"/>
      <sheetName val="Recirc Pump Run Time"/>
      <sheetName val="Low Slope Roofs"/>
      <sheetName val="Swegon Language"/>
      <sheetName val="UEF to EF"/>
      <sheetName val="HP Average COP"/>
      <sheetName val="HW Storage - AHRI"/>
      <sheetName val="IMEF"/>
      <sheetName val="HW Storage - No Rating"/>
      <sheetName val="Screening Definition"/>
      <sheetName val="BLINDS"/>
      <sheetName val="Walk-In Cooler"/>
      <sheetName val="Thermal Mass"/>
      <sheetName val="Fastener Correction"/>
      <sheetName val="Non-Res PHIUS+ 2018 targets"/>
      <sheetName val="Non-South Shading"/>
      <sheetName val="HP Performance"/>
      <sheetName val="HPWH COP"/>
      <sheetName val="Make-Up Air"/>
      <sheetName val="Process Load"/>
      <sheetName val="PHIUS+ SF"/>
      <sheetName val="PHIUS+ MF"/>
      <sheetName val="Dwelling Units (MF)"/>
      <sheetName val="Common Areas (MF)"/>
      <sheetName val="Exterior Lighting (MF)"/>
      <sheetName val="Garage Lighting(MF)"/>
      <sheetName val="PV Utilization Curves"/>
      <sheetName val="Uneven Reveals"/>
      <sheetName val="Detailed LPD"/>
      <sheetName val="Site Shading v2"/>
      <sheetName val="Edge Uf to Psi spacer"/>
      <sheetName val="Campus Community Certification"/>
      <sheetName val="01_Calculators - Master Lis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wegon Language"/>
      <sheetName val="Multiple Heat Pumps"/>
      <sheetName val="UEF to EF"/>
      <sheetName val="HP Average COP"/>
      <sheetName val="HW Storage - AHRI"/>
      <sheetName val="Screening Definition"/>
      <sheetName val="IMEF"/>
      <sheetName val="BLINDS"/>
      <sheetName val="Walk-In Cooler"/>
      <sheetName val="Thermal Mass"/>
      <sheetName val="Fastener Correction"/>
      <sheetName val="NFRC - Window Calc"/>
      <sheetName val="Non-Res PHIUS+ 2018 targets"/>
      <sheetName val="Non-South Shading"/>
      <sheetName val="HP Performance"/>
      <sheetName val="HPWH COP"/>
      <sheetName val="HPWH OUT"/>
      <sheetName val="Make-Up Air"/>
      <sheetName val="Process Load"/>
      <sheetName val="PHIUS+ SF"/>
      <sheetName val="PHIUS+ MF"/>
      <sheetName val="Dwelling Units (MF)"/>
      <sheetName val="Common Areas (MF)"/>
      <sheetName val="Exterior Lighting (MF)"/>
      <sheetName val="Garage Lighting(MF)"/>
      <sheetName val="On-Demand-In Progress"/>
      <sheetName val="PV Utilization Curves"/>
      <sheetName val="Uneven Reveals"/>
      <sheetName val="Detailed LPD"/>
      <sheetName val="Calculators - Master List"/>
      <sheetName val="UEF Calc"/>
      <sheetName val="Washing Machine"/>
      <sheetName val="Estimate FCU run-times"/>
      <sheetName val="Pool Calc (Outdoor)"/>
      <sheetName val="Recirc Pump Run Time"/>
      <sheetName val="Low Slope Roofs"/>
      <sheetName val="Non-Res Occupancy"/>
      <sheetName val="Site Shading"/>
      <sheetName val="Site Shading v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
      <sheetName val="Conversion"/>
      <sheetName val="Verification"/>
      <sheetName val="Verification SI"/>
      <sheetName val="Climate"/>
      <sheetName val="RefDims"/>
      <sheetName val="Areas"/>
      <sheetName val="Areas SI"/>
      <sheetName val="R-List"/>
      <sheetName val="U-List SI"/>
      <sheetName val="Insulation"/>
      <sheetName val="Bridges"/>
      <sheetName val="R-Values"/>
      <sheetName val="U-Values SI"/>
      <sheetName val="Ground 1"/>
      <sheetName val="Ground 1 SI"/>
      <sheetName val="Ground 2"/>
      <sheetName val="Ground 2 SI"/>
      <sheetName val="Ground 3"/>
      <sheetName val="Ground 3 SI"/>
      <sheetName val="WinEntry"/>
      <sheetName val="Window"/>
      <sheetName val="Window SI"/>
      <sheetName val="WinType"/>
      <sheetName val="WinType SI"/>
      <sheetName val="Shading SI"/>
      <sheetName val="Shading"/>
      <sheetName val="Ventilation"/>
      <sheetName val="Ventilation SI"/>
      <sheetName val="Annual Heat Demand"/>
      <sheetName val="Annual Heat Demand SI"/>
      <sheetName val="Monthly"/>
      <sheetName val="Monthly SI"/>
      <sheetName val="Heat Load"/>
      <sheetName val="Heat Load SI"/>
      <sheetName val="Summer"/>
      <sheetName val="Summer SI"/>
      <sheetName val="Shading-S"/>
      <sheetName val="Shading-S SI"/>
      <sheetName val="SummVent"/>
      <sheetName val="SummVent SI"/>
      <sheetName val="Cooling"/>
      <sheetName val="Cooling SI"/>
      <sheetName val="Cooling Units"/>
      <sheetName val="Cooling Units SI"/>
      <sheetName val="Cooling Load"/>
      <sheetName val="Cooling Load SI"/>
      <sheetName val="DHW"/>
      <sheetName val="DHW SI"/>
      <sheetName val="SolarDHW"/>
      <sheetName val="SolarDHW SI"/>
      <sheetName val="Electricity"/>
      <sheetName val="Electricity SI"/>
      <sheetName val="Elec Non-Dom"/>
      <sheetName val="Elec Non-Dom SI"/>
      <sheetName val="Aux Elec"/>
      <sheetName val="Aux Elec SI"/>
      <sheetName val="PE Value"/>
      <sheetName val="PE Value SI"/>
      <sheetName val="Compact"/>
      <sheetName val="Compact SI"/>
      <sheetName val="Boiler"/>
      <sheetName val="Boiler SI"/>
      <sheetName val="District Heat"/>
      <sheetName val="District Heat SI"/>
      <sheetName val="Climate SI"/>
      <sheetName val="IHG"/>
      <sheetName val="IHG SI"/>
      <sheetName val="IHG Non-Dom"/>
      <sheetName val="IHG Non-Dom SI"/>
      <sheetName val="Use Non-Dom"/>
      <sheetName val="Use Non-Dom SI"/>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2">
          <cell r="A2" t="str">
            <v>G L A Z I N G     A C C O R D I N G     T O     C E R T I F I C A T I O N</v>
          </cell>
        </row>
        <row r="4">
          <cell r="B4" t="str">
            <v>for frame types, go to row:</v>
          </cell>
          <cell r="C4">
            <v>76</v>
          </cell>
        </row>
        <row r="5">
          <cell r="B5" t="str">
            <v>Type</v>
          </cell>
        </row>
        <row r="6">
          <cell r="A6" t="str">
            <v>Assembly
No.</v>
          </cell>
          <cell r="B6" t="str">
            <v>Glazing</v>
          </cell>
          <cell r="C6" t="str">
            <v>g-Value</v>
          </cell>
          <cell r="D6" t="str">
            <v>Ug-Value</v>
          </cell>
        </row>
        <row r="7">
          <cell r="D7" t="str">
            <v>W/(m2K)</v>
          </cell>
        </row>
        <row r="8">
          <cell r="A8">
            <v>1</v>
          </cell>
          <cell r="B8" t="str">
            <v>Thermotech Low Solar Gain Glass</v>
          </cell>
          <cell r="C8">
            <v>0.374</v>
          </cell>
          <cell r="D8">
            <v>0.68135999999999997</v>
          </cell>
        </row>
        <row r="9">
          <cell r="A9">
            <v>2</v>
          </cell>
          <cell r="B9" t="str">
            <v/>
          </cell>
          <cell r="C9" t="str">
            <v/>
          </cell>
          <cell r="D9" t="str">
            <v/>
          </cell>
        </row>
        <row r="10">
          <cell r="A10">
            <v>3</v>
          </cell>
          <cell r="B10" t="str">
            <v/>
          </cell>
          <cell r="C10" t="str">
            <v/>
          </cell>
          <cell r="D10" t="str">
            <v/>
          </cell>
        </row>
        <row r="11">
          <cell r="A11">
            <v>4</v>
          </cell>
          <cell r="B11" t="str">
            <v/>
          </cell>
          <cell r="C11" t="str">
            <v/>
          </cell>
          <cell r="D11" t="str">
            <v/>
          </cell>
        </row>
        <row r="12">
          <cell r="A12">
            <v>5</v>
          </cell>
          <cell r="B12" t="str">
            <v/>
          </cell>
          <cell r="C12" t="str">
            <v/>
          </cell>
          <cell r="D12" t="str">
            <v/>
          </cell>
        </row>
        <row r="13">
          <cell r="A13">
            <v>6</v>
          </cell>
          <cell r="B13" t="str">
            <v/>
          </cell>
          <cell r="C13" t="str">
            <v/>
          </cell>
          <cell r="D13" t="str">
            <v/>
          </cell>
        </row>
        <row r="14">
          <cell r="A14">
            <v>7</v>
          </cell>
          <cell r="B14" t="str">
            <v/>
          </cell>
          <cell r="C14" t="str">
            <v/>
          </cell>
          <cell r="D14" t="str">
            <v/>
          </cell>
        </row>
        <row r="15">
          <cell r="A15">
            <v>8</v>
          </cell>
          <cell r="B15" t="str">
            <v/>
          </cell>
          <cell r="C15" t="str">
            <v/>
          </cell>
          <cell r="D15" t="str">
            <v/>
          </cell>
        </row>
        <row r="16">
          <cell r="A16">
            <v>9</v>
          </cell>
          <cell r="B16" t="str">
            <v/>
          </cell>
          <cell r="C16" t="str">
            <v/>
          </cell>
          <cell r="D16" t="str">
            <v/>
          </cell>
        </row>
        <row r="17">
          <cell r="A17">
            <v>10</v>
          </cell>
          <cell r="B17" t="str">
            <v/>
          </cell>
          <cell r="C17" t="str">
            <v/>
          </cell>
          <cell r="D17" t="str">
            <v/>
          </cell>
        </row>
        <row r="18">
          <cell r="A18">
            <v>11</v>
          </cell>
          <cell r="B18" t="str">
            <v/>
          </cell>
          <cell r="C18" t="str">
            <v/>
          </cell>
          <cell r="D18" t="str">
            <v/>
          </cell>
        </row>
        <row r="76">
          <cell r="A76" t="str">
            <v>F R A M E     T Y P E     A C C O R D I N G     T O     C E R T I F I C A T I O N</v>
          </cell>
        </row>
        <row r="78">
          <cell r="B78" t="str">
            <v>for glazings, go to row:</v>
          </cell>
          <cell r="C78">
            <v>2</v>
          </cell>
        </row>
        <row r="79">
          <cell r="B79" t="str">
            <v>Type</v>
          </cell>
          <cell r="C79" t="str">
            <v>Uf-Value</v>
          </cell>
          <cell r="D79" t="str">
            <v>Frame Dimensions</v>
          </cell>
          <cell r="H79" t="str">
            <v>Thermal Bridge</v>
          </cell>
          <cell r="I79" t="str">
            <v>Thermal Bridge</v>
          </cell>
        </row>
        <row r="80">
          <cell r="A80" t="str">
            <v>Assembly
No.</v>
          </cell>
          <cell r="B80" t="str">
            <v xml:space="preserve">Frame  </v>
          </cell>
          <cell r="C80" t="str">
            <v>Frame</v>
          </cell>
          <cell r="D80" t="str">
            <v>Width - Left</v>
          </cell>
          <cell r="E80" t="str">
            <v>Width - Right</v>
          </cell>
          <cell r="F80" t="str">
            <v>Width - Below</v>
          </cell>
          <cell r="G80" t="str">
            <v>Width - Above</v>
          </cell>
          <cell r="H80" t="str">
            <v xml:space="preserve"> YSpacer</v>
          </cell>
          <cell r="I80" t="str">
            <v xml:space="preserve"> YInstallation</v>
          </cell>
        </row>
        <row r="81">
          <cell r="C81" t="str">
            <v>W/(m2K)</v>
          </cell>
          <cell r="D81" t="str">
            <v>m</v>
          </cell>
          <cell r="E81" t="str">
            <v>m</v>
          </cell>
          <cell r="F81" t="str">
            <v>m</v>
          </cell>
          <cell r="G81" t="str">
            <v>m</v>
          </cell>
          <cell r="H81" t="str">
            <v>W/(mK)</v>
          </cell>
          <cell r="I81" t="str">
            <v>W/(mK)</v>
          </cell>
        </row>
        <row r="82">
          <cell r="A82">
            <v>1</v>
          </cell>
          <cell r="B82" t="str">
            <v/>
          </cell>
          <cell r="C82" t="str">
            <v/>
          </cell>
          <cell r="D82" t="str">
            <v/>
          </cell>
          <cell r="E82" t="str">
            <v/>
          </cell>
          <cell r="F82" t="str">
            <v/>
          </cell>
          <cell r="G82" t="str">
            <v/>
          </cell>
          <cell r="H82" t="str">
            <v/>
          </cell>
          <cell r="I82" t="str">
            <v/>
          </cell>
        </row>
        <row r="83">
          <cell r="A83">
            <v>2</v>
          </cell>
          <cell r="B83" t="str">
            <v/>
          </cell>
          <cell r="C83" t="str">
            <v/>
          </cell>
          <cell r="D83" t="str">
            <v/>
          </cell>
          <cell r="E83" t="str">
            <v/>
          </cell>
          <cell r="F83" t="str">
            <v/>
          </cell>
          <cell r="G83" t="str">
            <v/>
          </cell>
          <cell r="H83" t="str">
            <v/>
          </cell>
          <cell r="I83" t="str">
            <v/>
          </cell>
        </row>
        <row r="84">
          <cell r="A84">
            <v>3</v>
          </cell>
          <cell r="B84" t="str">
            <v/>
          </cell>
          <cell r="C84" t="str">
            <v/>
          </cell>
          <cell r="D84" t="str">
            <v/>
          </cell>
          <cell r="E84" t="str">
            <v/>
          </cell>
          <cell r="F84" t="str">
            <v/>
          </cell>
          <cell r="G84" t="str">
            <v/>
          </cell>
          <cell r="H84" t="str">
            <v/>
          </cell>
          <cell r="I84" t="str">
            <v/>
          </cell>
        </row>
        <row r="85">
          <cell r="A85">
            <v>4</v>
          </cell>
          <cell r="B85" t="str">
            <v/>
          </cell>
          <cell r="C85" t="str">
            <v/>
          </cell>
          <cell r="D85" t="str">
            <v/>
          </cell>
          <cell r="E85" t="str">
            <v/>
          </cell>
          <cell r="F85" t="str">
            <v/>
          </cell>
          <cell r="G85" t="str">
            <v/>
          </cell>
          <cell r="H85" t="str">
            <v/>
          </cell>
          <cell r="I85" t="str">
            <v/>
          </cell>
        </row>
        <row r="86">
          <cell r="A86">
            <v>5</v>
          </cell>
          <cell r="B86" t="str">
            <v/>
          </cell>
          <cell r="C86" t="str">
            <v/>
          </cell>
          <cell r="D86" t="str">
            <v/>
          </cell>
          <cell r="E86" t="str">
            <v/>
          </cell>
          <cell r="F86" t="str">
            <v/>
          </cell>
          <cell r="G86" t="str">
            <v/>
          </cell>
          <cell r="H86" t="str">
            <v/>
          </cell>
          <cell r="I86" t="str">
            <v/>
          </cell>
        </row>
        <row r="87">
          <cell r="A87">
            <v>6</v>
          </cell>
          <cell r="B87" t="str">
            <v/>
          </cell>
          <cell r="C87" t="str">
            <v/>
          </cell>
          <cell r="D87" t="str">
            <v/>
          </cell>
          <cell r="E87" t="str">
            <v/>
          </cell>
          <cell r="F87" t="str">
            <v/>
          </cell>
          <cell r="G87" t="str">
            <v/>
          </cell>
          <cell r="H87" t="str">
            <v/>
          </cell>
          <cell r="I87" t="str">
            <v/>
          </cell>
        </row>
        <row r="88">
          <cell r="A88">
            <v>7</v>
          </cell>
          <cell r="B88" t="str">
            <v/>
          </cell>
          <cell r="C88" t="str">
            <v/>
          </cell>
          <cell r="D88" t="str">
            <v/>
          </cell>
          <cell r="E88" t="str">
            <v/>
          </cell>
          <cell r="F88" t="str">
            <v/>
          </cell>
          <cell r="G88" t="str">
            <v/>
          </cell>
          <cell r="H88" t="str">
            <v/>
          </cell>
          <cell r="I88" t="str">
            <v/>
          </cell>
        </row>
        <row r="89">
          <cell r="A89">
            <v>8</v>
          </cell>
          <cell r="B89" t="str">
            <v/>
          </cell>
          <cell r="C89" t="str">
            <v/>
          </cell>
          <cell r="D89" t="str">
            <v/>
          </cell>
          <cell r="E89" t="str">
            <v/>
          </cell>
          <cell r="F89" t="str">
            <v/>
          </cell>
          <cell r="G89" t="str">
            <v/>
          </cell>
          <cell r="H89" t="str">
            <v/>
          </cell>
          <cell r="I89" t="str">
            <v/>
          </cell>
        </row>
        <row r="90">
          <cell r="A90">
            <v>9</v>
          </cell>
          <cell r="B90" t="str">
            <v/>
          </cell>
          <cell r="C90" t="str">
            <v/>
          </cell>
          <cell r="D90" t="str">
            <v/>
          </cell>
          <cell r="E90" t="str">
            <v/>
          </cell>
          <cell r="F90" t="str">
            <v/>
          </cell>
          <cell r="G90" t="str">
            <v/>
          </cell>
          <cell r="H90" t="str">
            <v/>
          </cell>
          <cell r="I90" t="str">
            <v/>
          </cell>
        </row>
        <row r="91">
          <cell r="A91">
            <v>10</v>
          </cell>
          <cell r="B91" t="str">
            <v/>
          </cell>
          <cell r="C91" t="str">
            <v/>
          </cell>
          <cell r="D91" t="str">
            <v/>
          </cell>
          <cell r="E91" t="str">
            <v/>
          </cell>
          <cell r="F91" t="str">
            <v/>
          </cell>
          <cell r="G91" t="str">
            <v/>
          </cell>
          <cell r="H91" t="str">
            <v/>
          </cell>
          <cell r="I91" t="str">
            <v/>
          </cell>
        </row>
        <row r="92">
          <cell r="A92">
            <v>11</v>
          </cell>
          <cell r="B92" t="str">
            <v/>
          </cell>
          <cell r="C92" t="str">
            <v/>
          </cell>
          <cell r="D92" t="str">
            <v/>
          </cell>
          <cell r="E92" t="str">
            <v/>
          </cell>
          <cell r="F92" t="str">
            <v/>
          </cell>
          <cell r="G92" t="str">
            <v/>
          </cell>
          <cell r="H92" t="str">
            <v/>
          </cell>
          <cell r="I92" t="str">
            <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18">
          <cell r="B18" t="str">
            <v>Primärenergie-Faktor Strom</v>
          </cell>
          <cell r="E18" t="str">
            <v>(Blatt Daten)</v>
          </cell>
          <cell r="F18">
            <v>2.7</v>
          </cell>
          <cell r="G18" t="str">
            <v>kWh/kWh</v>
          </cell>
        </row>
        <row r="19">
          <cell r="B19" t="str">
            <v>CO2-Emissionsfaktor (CO2-Äquivalent) Strom</v>
          </cell>
          <cell r="F19">
            <v>680</v>
          </cell>
          <cell r="G19" t="str">
            <v>g/kWh</v>
          </cell>
        </row>
        <row r="28">
          <cell r="C28" t="str">
            <v>Steigung Interpolation zwischen den Prüfpunkten</v>
          </cell>
          <cell r="D28" t="str">
            <v>a  PWP,Heiz</v>
          </cell>
          <cell r="R28" t="str">
            <v>Leistung bzw. COP</v>
          </cell>
          <cell r="S28" t="str">
            <v>PWP,Heiz(THeizlast)</v>
          </cell>
          <cell r="T28" t="str">
            <v>PWP,Heiz(TBereit)</v>
          </cell>
          <cell r="U28" t="str">
            <v>PWP,WW(THeizlast)</v>
          </cell>
          <cell r="V28" t="str">
            <v>PWP,WW(TBereit)</v>
          </cell>
          <cell r="W28" t="str">
            <v>PWP,Bereit(THeizlast)</v>
          </cell>
          <cell r="X28" t="str">
            <v>PWP,Bereit(TBereit)</v>
          </cell>
          <cell r="Y28" t="str">
            <v>COPHeiz, 0 bis tleist</v>
          </cell>
          <cell r="Z28" t="str">
            <v>COPHeiz,tleist bis tBereit</v>
          </cell>
          <cell r="AA28" t="str">
            <v>COPWW,0 bis tHeiztage</v>
          </cell>
          <cell r="AB28" t="str">
            <v>COPWW,tleist bis tHeiztage</v>
          </cell>
          <cell r="AC28" t="str">
            <v>COPBereit,0 bis tleist</v>
          </cell>
          <cell r="AD28" t="str">
            <v>COPBereit,tleist bis tHeiztage</v>
          </cell>
          <cell r="AE28" t="str">
            <v>COPWW,Sommer</v>
          </cell>
          <cell r="AF28" t="str">
            <v>COPBereit,Sommer</v>
          </cell>
        </row>
        <row r="29">
          <cell r="C29" t="str">
            <v>Achsabschnitt Interpolation zwischen den Prüfpunkten</v>
          </cell>
          <cell r="D29" t="str">
            <v>b  PWP,Heiz</v>
          </cell>
          <cell r="R29" t="str">
            <v>Außentemperatur [°C]</v>
          </cell>
          <cell r="S29" t="e">
            <v>#VALUE!</v>
          </cell>
          <cell r="T29" t="e">
            <v>#VALUE!</v>
          </cell>
          <cell r="U29" t="e">
            <v>#VALUE!</v>
          </cell>
          <cell r="V29" t="e">
            <v>#VALUE!</v>
          </cell>
          <cell r="W29" t="e">
            <v>#VALUE!</v>
          </cell>
          <cell r="X29" t="e">
            <v>#VALUE!</v>
          </cell>
          <cell r="Y29" t="e">
            <v>#VALUE!</v>
          </cell>
          <cell r="Z29" t="e">
            <v>#VALUE!</v>
          </cell>
          <cell r="AA29" t="e">
            <v>#VALUE!</v>
          </cell>
          <cell r="AB29" t="e">
            <v>#VALUE!</v>
          </cell>
          <cell r="AC29" t="e">
            <v>#VALUE!</v>
          </cell>
          <cell r="AD29" t="e">
            <v>#VALUE!</v>
          </cell>
          <cell r="AE29">
            <v>20</v>
          </cell>
          <cell r="AF29">
            <v>20</v>
          </cell>
        </row>
        <row r="31">
          <cell r="C31" t="str">
            <v>Steigung Interpolation zwischen den Prüfpunkten</v>
          </cell>
          <cell r="D31" t="str">
            <v>a COPHeiz</v>
          </cell>
          <cell r="R31" t="str">
            <v>b1,2,3,4</v>
          </cell>
          <cell r="S31">
            <v>0</v>
          </cell>
          <cell r="T31">
            <v>0</v>
          </cell>
          <cell r="U31">
            <v>0</v>
          </cell>
          <cell r="V31">
            <v>0</v>
          </cell>
          <cell r="W31">
            <v>0</v>
          </cell>
          <cell r="X31">
            <v>0</v>
          </cell>
          <cell r="Y31">
            <v>0</v>
          </cell>
          <cell r="Z31">
            <v>0</v>
          </cell>
          <cell r="AA31">
            <v>0</v>
          </cell>
          <cell r="AB31">
            <v>0</v>
          </cell>
          <cell r="AC31">
            <v>0</v>
          </cell>
          <cell r="AD31">
            <v>0</v>
          </cell>
          <cell r="AE31">
            <v>0</v>
          </cell>
          <cell r="AF31">
            <v>0</v>
          </cell>
        </row>
        <row r="32">
          <cell r="C32" t="str">
            <v>Achsabschnitt Interpolation zwischen den Prüfpunkten</v>
          </cell>
          <cell r="D32" t="str">
            <v>b COPHeiz</v>
          </cell>
          <cell r="R32" t="str">
            <v>a1</v>
          </cell>
          <cell r="S32">
            <v>0</v>
          </cell>
          <cell r="T32">
            <v>0</v>
          </cell>
          <cell r="U32">
            <v>0</v>
          </cell>
          <cell r="V32">
            <v>0</v>
          </cell>
          <cell r="W32">
            <v>0</v>
          </cell>
          <cell r="X32">
            <v>0</v>
          </cell>
          <cell r="Y32">
            <v>0</v>
          </cell>
          <cell r="Z32">
            <v>0</v>
          </cell>
          <cell r="AA32">
            <v>0</v>
          </cell>
          <cell r="AB32">
            <v>0</v>
          </cell>
          <cell r="AC32">
            <v>0</v>
          </cell>
          <cell r="AD32">
            <v>0</v>
          </cell>
          <cell r="AE32">
            <v>0</v>
          </cell>
          <cell r="AF32">
            <v>0</v>
          </cell>
        </row>
        <row r="33">
          <cell r="C33" t="str">
            <v>Exergetischer Gütegrad</v>
          </cell>
          <cell r="D33" t="str">
            <v>hex</v>
          </cell>
          <cell r="E33" t="e">
            <v>#VALUE!</v>
          </cell>
          <cell r="F33" t="e">
            <v>#VALUE!</v>
          </cell>
          <cell r="G33" t="e">
            <v>#VALUE!</v>
          </cell>
          <cell r="H33" t="e">
            <v>#VALUE!</v>
          </cell>
          <cell r="R33" t="str">
            <v>b1</v>
          </cell>
          <cell r="S33">
            <v>0</v>
          </cell>
          <cell r="T33">
            <v>0</v>
          </cell>
          <cell r="U33">
            <v>0</v>
          </cell>
          <cell r="V33">
            <v>0</v>
          </cell>
          <cell r="W33">
            <v>0</v>
          </cell>
          <cell r="X33">
            <v>0</v>
          </cell>
          <cell r="Y33">
            <v>0</v>
          </cell>
          <cell r="Z33">
            <v>0</v>
          </cell>
          <cell r="AA33">
            <v>0</v>
          </cell>
          <cell r="AB33">
            <v>0</v>
          </cell>
          <cell r="AC33">
            <v>0</v>
          </cell>
          <cell r="AD33">
            <v>0</v>
          </cell>
          <cell r="AE33">
            <v>0</v>
          </cell>
          <cell r="AF33">
            <v>0</v>
          </cell>
        </row>
        <row r="38">
          <cell r="B38" t="str">
            <v>Messwerte thermische Leistung Wärmepumpe Warmwasser</v>
          </cell>
          <cell r="D38" t="str">
            <v xml:space="preserve"> PWP,WW</v>
          </cell>
          <cell r="E38" t="e">
            <v>#N/A</v>
          </cell>
          <cell r="F38" t="e">
            <v>#N/A</v>
          </cell>
          <cell r="G38" t="e">
            <v>#N/A</v>
          </cell>
          <cell r="H38" t="e">
            <v>#N/A</v>
          </cell>
          <cell r="R38" t="str">
            <v>a3</v>
          </cell>
          <cell r="S38">
            <v>0</v>
          </cell>
          <cell r="T38">
            <v>0</v>
          </cell>
          <cell r="U38">
            <v>0</v>
          </cell>
          <cell r="V38">
            <v>0</v>
          </cell>
          <cell r="W38">
            <v>0</v>
          </cell>
          <cell r="X38">
            <v>0</v>
          </cell>
          <cell r="Y38">
            <v>0</v>
          </cell>
          <cell r="Z38">
            <v>0</v>
          </cell>
          <cell r="AA38">
            <v>0</v>
          </cell>
          <cell r="AB38">
            <v>0</v>
          </cell>
          <cell r="AC38">
            <v>0</v>
          </cell>
          <cell r="AD38">
            <v>0</v>
          </cell>
          <cell r="AE38">
            <v>0</v>
          </cell>
          <cell r="AF38">
            <v>0</v>
          </cell>
        </row>
        <row r="41">
          <cell r="C41" t="str">
            <v>Steigung Interpolation zwischen den Prüfpunkten</v>
          </cell>
          <cell r="D41" t="str">
            <v>a  PWP,WW</v>
          </cell>
          <cell r="R41" t="str">
            <v>T2</v>
          </cell>
          <cell r="S41" t="str">
            <v/>
          </cell>
          <cell r="T41" t="str">
            <v/>
          </cell>
          <cell r="U41" t="str">
            <v/>
          </cell>
          <cell r="V41" t="str">
            <v/>
          </cell>
          <cell r="W41" t="str">
            <v/>
          </cell>
          <cell r="X41" t="str">
            <v/>
          </cell>
          <cell r="Y41" t="str">
            <v/>
          </cell>
          <cell r="Z41" t="str">
            <v/>
          </cell>
          <cell r="AA41" t="str">
            <v/>
          </cell>
          <cell r="AB41" t="str">
            <v/>
          </cell>
          <cell r="AC41" t="str">
            <v/>
          </cell>
          <cell r="AD41" t="str">
            <v/>
          </cell>
          <cell r="AE41" t="str">
            <v/>
          </cell>
          <cell r="AF41" t="str">
            <v/>
          </cell>
        </row>
        <row r="42">
          <cell r="C42" t="str">
            <v>Achsabschnitt Interpolation zwischen den Prüfpunkten</v>
          </cell>
          <cell r="D42" t="str">
            <v>b  PWP,WW</v>
          </cell>
          <cell r="R42" t="str">
            <v>T3</v>
          </cell>
          <cell r="S42" t="str">
            <v/>
          </cell>
          <cell r="T42" t="str">
            <v/>
          </cell>
          <cell r="U42" t="str">
            <v/>
          </cell>
          <cell r="V42" t="str">
            <v/>
          </cell>
          <cell r="W42" t="str">
            <v/>
          </cell>
          <cell r="X42" t="str">
            <v/>
          </cell>
          <cell r="Y42" t="str">
            <v/>
          </cell>
          <cell r="Z42" t="str">
            <v/>
          </cell>
          <cell r="AA42" t="str">
            <v/>
          </cell>
          <cell r="AB42" t="str">
            <v/>
          </cell>
          <cell r="AC42" t="str">
            <v/>
          </cell>
          <cell r="AD42" t="str">
            <v/>
          </cell>
          <cell r="AE42" t="str">
            <v/>
          </cell>
          <cell r="AF42" t="str">
            <v/>
          </cell>
        </row>
        <row r="43">
          <cell r="B43" t="str">
            <v>Arbeitszahl Warmwasser</v>
          </cell>
          <cell r="D43" t="str">
            <v xml:space="preserve"> COPWW</v>
          </cell>
          <cell r="E43" t="e">
            <v>#N/A</v>
          </cell>
          <cell r="F43" t="e">
            <v>#N/A</v>
          </cell>
          <cell r="G43" t="e">
            <v>#N/A</v>
          </cell>
          <cell r="H43" t="e">
            <v>#N/A</v>
          </cell>
          <cell r="R43" t="str">
            <v>T4</v>
          </cell>
          <cell r="S43" t="str">
            <v/>
          </cell>
          <cell r="T43" t="str">
            <v/>
          </cell>
          <cell r="U43" t="str">
            <v/>
          </cell>
          <cell r="V43" t="str">
            <v/>
          </cell>
          <cell r="W43" t="str">
            <v/>
          </cell>
          <cell r="X43" t="str">
            <v/>
          </cell>
          <cell r="Y43" t="str">
            <v/>
          </cell>
          <cell r="Z43" t="str">
            <v/>
          </cell>
          <cell r="AA43" t="str">
            <v/>
          </cell>
          <cell r="AB43" t="str">
            <v/>
          </cell>
          <cell r="AC43" t="str">
            <v/>
          </cell>
          <cell r="AD43" t="str">
            <v/>
          </cell>
          <cell r="AE43" t="str">
            <v/>
          </cell>
          <cell r="AF43" t="str">
            <v/>
          </cell>
        </row>
        <row r="46">
          <cell r="C46" t="str">
            <v>Steigung Interpolation zwischen den Prüfpunkten</v>
          </cell>
          <cell r="D46" t="str">
            <v>a COPWW</v>
          </cell>
          <cell r="R46" t="str">
            <v>P bzw. COP Punkt 3</v>
          </cell>
          <cell r="S46" t="e">
            <v>#N/A</v>
          </cell>
          <cell r="T46" t="e">
            <v>#N/A</v>
          </cell>
          <cell r="U46" t="e">
            <v>#N/A</v>
          </cell>
          <cell r="V46" t="e">
            <v>#N/A</v>
          </cell>
          <cell r="W46" t="e">
            <v>#N/A</v>
          </cell>
          <cell r="X46" t="e">
            <v>#N/A</v>
          </cell>
          <cell r="Y46" t="e">
            <v>#N/A</v>
          </cell>
          <cell r="Z46" t="e">
            <v>#N/A</v>
          </cell>
          <cell r="AA46" t="e">
            <v>#N/A</v>
          </cell>
          <cell r="AB46" t="e">
            <v>#N/A</v>
          </cell>
          <cell r="AC46" t="e">
            <v>#N/A</v>
          </cell>
          <cell r="AD46" t="e">
            <v>#N/A</v>
          </cell>
          <cell r="AE46" t="e">
            <v>#N/A</v>
          </cell>
          <cell r="AF46" t="e">
            <v>#N/A</v>
          </cell>
        </row>
        <row r="47">
          <cell r="C47" t="str">
            <v>Achsabschnitt Interpolation zwischen den Prüfpunkten</v>
          </cell>
          <cell r="D47" t="str">
            <v>b COPWW</v>
          </cell>
          <cell r="R47" t="str">
            <v>P bzw. COP Punkt 4</v>
          </cell>
          <cell r="S47" t="e">
            <v>#N/A</v>
          </cell>
          <cell r="T47" t="e">
            <v>#N/A</v>
          </cell>
          <cell r="U47" t="e">
            <v>#N/A</v>
          </cell>
          <cell r="V47" t="e">
            <v>#N/A</v>
          </cell>
          <cell r="W47" t="e">
            <v>#N/A</v>
          </cell>
          <cell r="X47" t="e">
            <v>#N/A</v>
          </cell>
          <cell r="Y47" t="e">
            <v>#N/A</v>
          </cell>
          <cell r="Z47" t="e">
            <v>#N/A</v>
          </cell>
          <cell r="AA47" t="e">
            <v>#N/A</v>
          </cell>
          <cell r="AB47" t="e">
            <v>#N/A</v>
          </cell>
          <cell r="AC47" t="e">
            <v>#N/A</v>
          </cell>
          <cell r="AD47" t="e">
            <v>#N/A</v>
          </cell>
          <cell r="AE47" t="e">
            <v>#N/A</v>
          </cell>
          <cell r="AF47" t="e">
            <v>#N/A</v>
          </cell>
        </row>
        <row r="48">
          <cell r="C48" t="str">
            <v>Exergetischer Gütegrad</v>
          </cell>
          <cell r="D48" t="str">
            <v>hex</v>
          </cell>
          <cell r="E48" t="e">
            <v>#N/A</v>
          </cell>
          <cell r="F48" t="e">
            <v>#N/A</v>
          </cell>
          <cell r="G48" t="e">
            <v>#N/A</v>
          </cell>
          <cell r="H48" t="e">
            <v>#N/A</v>
          </cell>
          <cell r="R48" t="str">
            <v>Tamb&lt;T1</v>
          </cell>
          <cell r="S48" t="e">
            <v>#VALUE!</v>
          </cell>
          <cell r="T48" t="e">
            <v>#VALUE!</v>
          </cell>
          <cell r="U48" t="e">
            <v>#VALUE!</v>
          </cell>
          <cell r="V48" t="e">
            <v>#VALUE!</v>
          </cell>
          <cell r="W48" t="e">
            <v>#VALUE!</v>
          </cell>
          <cell r="X48" t="e">
            <v>#VALUE!</v>
          </cell>
          <cell r="Y48" t="e">
            <v>#VALUE!</v>
          </cell>
          <cell r="Z48" t="e">
            <v>#VALUE!</v>
          </cell>
          <cell r="AA48" t="e">
            <v>#VALUE!</v>
          </cell>
          <cell r="AB48" t="e">
            <v>#VALUE!</v>
          </cell>
          <cell r="AC48" t="e">
            <v>#VALUE!</v>
          </cell>
          <cell r="AD48" t="e">
            <v>#VALUE!</v>
          </cell>
          <cell r="AE48">
            <v>0</v>
          </cell>
          <cell r="AF48">
            <v>0</v>
          </cell>
        </row>
        <row r="51">
          <cell r="B51" t="str">
            <v>Default-Werte, falls keine Messwerte (aus WW übernommen )</v>
          </cell>
          <cell r="D51" t="str">
            <v xml:space="preserve"> Pwp,Bereit</v>
          </cell>
          <cell r="E51" t="e">
            <v>#N/A</v>
          </cell>
          <cell r="F51" t="e">
            <v>#N/A</v>
          </cell>
          <cell r="G51" t="e">
            <v>#N/A</v>
          </cell>
          <cell r="H51" t="e">
            <v>#N/A</v>
          </cell>
          <cell r="I51" t="str">
            <v>kW</v>
          </cell>
          <cell r="R51" t="str">
            <v>T3&lt;=Tamb&lt;T4</v>
          </cell>
          <cell r="S51" t="e">
            <v>#VALUE!</v>
          </cell>
          <cell r="T51" t="e">
            <v>#VALUE!</v>
          </cell>
          <cell r="U51" t="e">
            <v>#VALUE!</v>
          </cell>
          <cell r="V51" t="e">
            <v>#VALUE!</v>
          </cell>
          <cell r="W51" t="e">
            <v>#VALUE!</v>
          </cell>
          <cell r="X51" t="e">
            <v>#VALUE!</v>
          </cell>
          <cell r="Y51" t="e">
            <v>#VALUE!</v>
          </cell>
          <cell r="Z51" t="e">
            <v>#VALUE!</v>
          </cell>
          <cell r="AA51" t="e">
            <v>#VALUE!</v>
          </cell>
          <cell r="AB51" t="e">
            <v>#VALUE!</v>
          </cell>
          <cell r="AC51" t="e">
            <v>#VALUE!</v>
          </cell>
          <cell r="AD51" t="e">
            <v>#VALUE!</v>
          </cell>
          <cell r="AE51">
            <v>0</v>
          </cell>
          <cell r="AF51">
            <v>0</v>
          </cell>
        </row>
        <row r="53">
          <cell r="C53" t="str">
            <v>Steigung Interpolation zwischen den Prüfpunkten</v>
          </cell>
          <cell r="D53" t="str">
            <v>a  PWP,Bereit</v>
          </cell>
          <cell r="R53" t="str">
            <v>P bzw. COP interpol.</v>
          </cell>
          <cell r="S53" t="e">
            <v>#VALUE!</v>
          </cell>
          <cell r="T53" t="e">
            <v>#VALUE!</v>
          </cell>
          <cell r="U53" t="e">
            <v>#VALUE!</v>
          </cell>
          <cell r="V53" t="e">
            <v>#VALUE!</v>
          </cell>
          <cell r="W53" t="e">
            <v>#VALUE!</v>
          </cell>
          <cell r="X53" t="e">
            <v>#VALUE!</v>
          </cell>
          <cell r="Y53" t="e">
            <v>#VALUE!</v>
          </cell>
          <cell r="Z53" t="e">
            <v>#VALUE!</v>
          </cell>
          <cell r="AA53" t="e">
            <v>#VALUE!</v>
          </cell>
          <cell r="AB53" t="e">
            <v>#VALUE!</v>
          </cell>
          <cell r="AC53" t="e">
            <v>#VALUE!</v>
          </cell>
          <cell r="AD53" t="e">
            <v>#VALUE!</v>
          </cell>
          <cell r="AE53">
            <v>0</v>
          </cell>
          <cell r="AF53">
            <v>0</v>
          </cell>
        </row>
        <row r="54">
          <cell r="C54" t="str">
            <v>Achsabschnitt Interpolation zwischen den Prüfpunkten</v>
          </cell>
          <cell r="D54" t="str">
            <v>b  PWP,Bereit</v>
          </cell>
        </row>
        <row r="55">
          <cell r="B55" t="str">
            <v>Default-Werte, falls keine Messwerte (aus WW übernommen )</v>
          </cell>
          <cell r="D55" t="str">
            <v xml:space="preserve"> COPBereit</v>
          </cell>
          <cell r="E55" t="e">
            <v>#N/A</v>
          </cell>
          <cell r="F55" t="e">
            <v>#N/A</v>
          </cell>
          <cell r="G55" t="e">
            <v>#N/A</v>
          </cell>
          <cell r="H55" t="e">
            <v>#N/A</v>
          </cell>
        </row>
        <row r="57">
          <cell r="C57" t="str">
            <v>Steigung Interpolation zwischen den Prüfpunkten</v>
          </cell>
          <cell r="D57" t="str">
            <v>a COPBereit</v>
          </cell>
        </row>
        <row r="58">
          <cell r="C58" t="str">
            <v>Achsabschnitt Interpolation zwischen den Prüfpunkten</v>
          </cell>
          <cell r="D58" t="str">
            <v>b COPBereit</v>
          </cell>
        </row>
        <row r="59">
          <cell r="B59" t="str">
            <v>Mittlere elektrische Leistungsaufnahme im Bereitschaftsbetrieb</v>
          </cell>
          <cell r="D59" t="str">
            <v>Pel,mittel,Bereit</v>
          </cell>
          <cell r="E59" t="e">
            <v>#VALUE!</v>
          </cell>
          <cell r="F59" t="e">
            <v>#VALUE!</v>
          </cell>
          <cell r="G59" t="e">
            <v>#VALUE!</v>
          </cell>
          <cell r="H59" t="e">
            <v>#VALUE!</v>
          </cell>
          <cell r="I59" t="str">
            <v>W</v>
          </cell>
        </row>
        <row r="60">
          <cell r="B60" t="str">
            <v>Regression aus Messdaten</v>
          </cell>
        </row>
        <row r="61">
          <cell r="B61" t="str">
            <v>Regression thermische Leistung Wärmepumpe Heizung</v>
          </cell>
          <cell r="D61" t="str">
            <v xml:space="preserve"> PWP,Heiz</v>
          </cell>
          <cell r="E61" t="str">
            <v>(Prüfstandsmessung)</v>
          </cell>
          <cell r="G61" t="str">
            <v xml:space="preserve"> * Tamb + </v>
          </cell>
        </row>
        <row r="62">
          <cell r="B62" t="str">
            <v>Regression thermische Leistung Wärmepumpe Warmwasser</v>
          </cell>
          <cell r="D62" t="str">
            <v xml:space="preserve"> PWP,WW</v>
          </cell>
          <cell r="E62" t="str">
            <v>(Prüfstandsmessung)</v>
          </cell>
          <cell r="G62" t="str">
            <v xml:space="preserve"> * Tamb + </v>
          </cell>
        </row>
        <row r="63">
          <cell r="B63" t="str">
            <v>Regression thermische Leistung Wärmepumpe Bereitschaft</v>
          </cell>
          <cell r="D63" t="str">
            <v xml:space="preserve"> Pwp,Bereit</v>
          </cell>
          <cell r="E63" t="str">
            <v>(Prüfstandsmessung)</v>
          </cell>
          <cell r="G63" t="str">
            <v xml:space="preserve"> * Tamb + </v>
          </cell>
        </row>
        <row r="64">
          <cell r="B64" t="str">
            <v>Regression Arbeitszahl Heizung</v>
          </cell>
          <cell r="D64" t="str">
            <v xml:space="preserve"> COPHeiz</v>
          </cell>
          <cell r="E64" t="str">
            <v>(Prüfstandsmessung)</v>
          </cell>
          <cell r="G64" t="str">
            <v xml:space="preserve"> * Tamb + </v>
          </cell>
        </row>
        <row r="65">
          <cell r="B65" t="str">
            <v>Regression Arbeitszahl  Warmwasser</v>
          </cell>
          <cell r="D65" t="str">
            <v xml:space="preserve"> COPWW</v>
          </cell>
          <cell r="E65" t="str">
            <v>(Prüfstandsmessung)</v>
          </cell>
          <cell r="G65" t="str">
            <v xml:space="preserve"> * Tamb + </v>
          </cell>
        </row>
        <row r="66">
          <cell r="B66" t="str">
            <v>Regression Arbeitszahl  Bereitschaft</v>
          </cell>
          <cell r="D66" t="str">
            <v xml:space="preserve"> COPBereit</v>
          </cell>
          <cell r="E66" t="str">
            <v>(Prüfstandsmessung)</v>
          </cell>
          <cell r="G66" t="str">
            <v xml:space="preserve"> * Tamb + </v>
          </cell>
        </row>
        <row r="68">
          <cell r="B68" t="str">
            <v>TWW-Zapfanteile nach IEA-SHC Task 26</v>
          </cell>
          <cell r="D68" t="str">
            <v>Kategorie</v>
          </cell>
          <cell r="E68" t="str">
            <v>kleine Zapfungen</v>
          </cell>
          <cell r="F68" t="str">
            <v>mittlere Zapfungen</v>
          </cell>
          <cell r="G68" t="str">
            <v>Duschbad</v>
          </cell>
          <cell r="H68" t="str">
            <v>Badewanne</v>
          </cell>
        </row>
        <row r="69">
          <cell r="D69" t="str">
            <v>Anteil der gezapften Wärmemenge</v>
          </cell>
          <cell r="E69">
            <v>0.14238701530120801</v>
          </cell>
          <cell r="F69">
            <v>0.357031064596526</v>
          </cell>
          <cell r="G69">
            <v>0.39665148250441501</v>
          </cell>
          <cell r="H69">
            <v>0.103930437597852</v>
          </cell>
        </row>
        <row r="70">
          <cell r="B70" t="str">
            <v>Wichtungsfaktor COPSpeichernachladung</v>
          </cell>
          <cell r="D70" t="str">
            <v>fSpeichernachladung</v>
          </cell>
          <cell r="F70">
            <v>0.63163524073253896</v>
          </cell>
        </row>
        <row r="83">
          <cell r="B83" t="str">
            <v>Mittlere Arbeitszahl WP Heizung 0 bis tleist</v>
          </cell>
          <cell r="D83" t="str">
            <v>COPHeiz, 0 bis tleist</v>
          </cell>
          <cell r="F83" t="e">
            <v>#VALUE!</v>
          </cell>
          <cell r="K83" t="e">
            <v>#VALUE!</v>
          </cell>
        </row>
        <row r="84">
          <cell r="B84" t="str">
            <v>Wärmelieferung WP Heizung  0 bis tleist</v>
          </cell>
          <cell r="D84" t="str">
            <v>QWP,Heiz, 0 bis tleist</v>
          </cell>
          <cell r="F84" t="e">
            <v>#VALUE!</v>
          </cell>
          <cell r="G84" t="str">
            <v>kWh/a</v>
          </cell>
          <cell r="K84" t="e">
            <v>#VALUE!</v>
          </cell>
          <cell r="L84" t="str">
            <v>kWh/a</v>
          </cell>
        </row>
        <row r="85">
          <cell r="B85" t="str">
            <v>Mittlere Arbeitszahl WP Heizung tleist bis tBereit</v>
          </cell>
          <cell r="D85" t="str">
            <v>COPHeiz,tleist bis tBereit</v>
          </cell>
          <cell r="F85" t="e">
            <v>#VALUE!</v>
          </cell>
          <cell r="K85" t="e">
            <v>#VALUE!</v>
          </cell>
        </row>
        <row r="86">
          <cell r="B86" t="str">
            <v>Wärmelieferung WP Heizung  tleist bis tBereit</v>
          </cell>
          <cell r="D86" t="str">
            <v>QWP,Heiz, tleist bis tBereit</v>
          </cell>
          <cell r="F86" t="e">
            <v>#VALUE!</v>
          </cell>
          <cell r="G86" t="str">
            <v>kWh/a</v>
          </cell>
          <cell r="K86" t="e">
            <v>#VALUE!</v>
          </cell>
          <cell r="L86" t="str">
            <v>kWh/a</v>
          </cell>
        </row>
        <row r="87">
          <cell r="B87" t="str">
            <v xml:space="preserve">Mittlere Arbeitszahl WP Heizung </v>
          </cell>
          <cell r="F87" t="e">
            <v>#VALUE!</v>
          </cell>
          <cell r="K87" t="e">
            <v>#VALUE!</v>
          </cell>
        </row>
        <row r="88">
          <cell r="B88" t="str">
            <v>Mittlere Arbeitszahl WP Warmwasser 0 bis tHeiztage</v>
          </cell>
          <cell r="D88" t="str">
            <v>COPWW,0 bis tHeiztage</v>
          </cell>
          <cell r="F88" t="e">
            <v>#VALUE!</v>
          </cell>
          <cell r="K88" t="e">
            <v>#VALUE!</v>
          </cell>
        </row>
        <row r="89">
          <cell r="B89" t="str">
            <v>Wärmelieferung WP Warmwasser 0 bis tleist</v>
          </cell>
          <cell r="D89" t="str">
            <v>QWP,WW, 0 bis tHeiztage</v>
          </cell>
          <cell r="F89" t="e">
            <v>#VALUE!</v>
          </cell>
          <cell r="G89" t="str">
            <v>kWh/a</v>
          </cell>
          <cell r="K89" t="e">
            <v>#VALUE!</v>
          </cell>
          <cell r="L89" t="str">
            <v>kWh/a</v>
          </cell>
        </row>
        <row r="90">
          <cell r="B90" t="str">
            <v>Mittlere Arbeitszahl WP Warmwasser tleist bis tHeiztage</v>
          </cell>
          <cell r="D90" t="str">
            <v>COPWW,tleist bis tHeiztage</v>
          </cell>
          <cell r="F90" t="e">
            <v>#VALUE!</v>
          </cell>
          <cell r="K90" t="e">
            <v>#VALUE!</v>
          </cell>
        </row>
        <row r="91">
          <cell r="B91" t="str">
            <v>Wärmelieferung WP Warmwasser tleist bis tHeiztage</v>
          </cell>
          <cell r="D91" t="str">
            <v>QWP,WW, tleist bis tHeiztage</v>
          </cell>
          <cell r="F91" t="e">
            <v>#VALUE!</v>
          </cell>
          <cell r="G91" t="str">
            <v>kWh/a</v>
          </cell>
          <cell r="K91" t="e">
            <v>#VALUE!</v>
          </cell>
          <cell r="L91" t="str">
            <v>kWh/a</v>
          </cell>
        </row>
        <row r="92">
          <cell r="B92" t="str">
            <v>Mittlere Arbeitszahl WP Warmwasser Winter</v>
          </cell>
          <cell r="F92" t="e">
            <v>#VALUE!</v>
          </cell>
          <cell r="K92" t="e">
            <v>#VALUE!</v>
          </cell>
        </row>
        <row r="93">
          <cell r="B93" t="str">
            <v>Mittlere Arbeitszahl WP Bereitschaft 0 bis tHeiztage</v>
          </cell>
          <cell r="D93" t="str">
            <v>COPBereit,0 bis tleist</v>
          </cell>
          <cell r="F93" t="e">
            <v>#VALUE!</v>
          </cell>
          <cell r="K93" t="e">
            <v>#VALUE!</v>
          </cell>
        </row>
        <row r="94">
          <cell r="B94" t="str">
            <v>Wärmelieferung WP Bereitschaft 0 bis tleist</v>
          </cell>
          <cell r="D94" t="str">
            <v>QWP,Bereit, 0 bis tleist</v>
          </cell>
          <cell r="F94" t="e">
            <v>#VALUE!</v>
          </cell>
          <cell r="G94" t="str">
            <v>kWh/a</v>
          </cell>
          <cell r="K94" t="e">
            <v>#VALUE!</v>
          </cell>
          <cell r="L94" t="str">
            <v>kWh/a</v>
          </cell>
        </row>
        <row r="95">
          <cell r="B95" t="str">
            <v>Mittlere Arbeitszahl WP Bereitschaft tleist bis tHeiztage</v>
          </cell>
          <cell r="D95" t="str">
            <v>COPBereit,tleist bis tHeiztage</v>
          </cell>
          <cell r="F95" t="e">
            <v>#VALUE!</v>
          </cell>
          <cell r="K95" t="e">
            <v>#VALUE!</v>
          </cell>
        </row>
        <row r="96">
          <cell r="B96" t="str">
            <v>Wärmelieferung WP Bereit tleist bis tHeiztage</v>
          </cell>
          <cell r="D96" t="str">
            <v>QWP,Bereit, tleist bis tHeiztage</v>
          </cell>
          <cell r="F96" t="e">
            <v>#VALUE!</v>
          </cell>
          <cell r="G96" t="str">
            <v>kWh/a</v>
          </cell>
          <cell r="K96" t="e">
            <v>#VALUE!</v>
          </cell>
          <cell r="L96" t="str">
            <v>kWh/a</v>
          </cell>
        </row>
        <row r="97">
          <cell r="B97" t="str">
            <v>Mittlere Arbeitszahl WP Bereitschaft Winter</v>
          </cell>
          <cell r="D97" t="str">
            <v>COPBereit,Winter</v>
          </cell>
          <cell r="F97" t="e">
            <v>#VALUE!</v>
          </cell>
          <cell r="K97" t="e">
            <v>#VALUE!</v>
          </cell>
        </row>
        <row r="98">
          <cell r="B98" t="str">
            <v xml:space="preserve">Mittlere Arbeitszahl WP Bereitschaft Sommer </v>
          </cell>
          <cell r="D98" t="str">
            <v>COPBereit,Sommer</v>
          </cell>
          <cell r="F98">
            <v>0</v>
          </cell>
        </row>
        <row r="99">
          <cell r="B99" t="str">
            <v>Mittlere Arbeitszahl WP Warmwasser Sommer</v>
          </cell>
          <cell r="D99" t="str">
            <v>COPWW,Sommer</v>
          </cell>
          <cell r="F99">
            <v>0</v>
          </cell>
        </row>
        <row r="100">
          <cell r="B100" t="str">
            <v>Mittlere Arbeitszahl WP Warmwasser</v>
          </cell>
          <cell r="D100" t="str">
            <v>COPWW</v>
          </cell>
          <cell r="F100" t="e">
            <v>#VALUE!</v>
          </cell>
          <cell r="K100" t="e">
            <v>#VALUE!</v>
          </cell>
        </row>
        <row r="101">
          <cell r="B101" t="str">
            <v>Thermische Leistung Bereitschaftsbetrieb</v>
          </cell>
          <cell r="D101" t="str">
            <v>PBereit</v>
          </cell>
          <cell r="F101" t="e">
            <v>#VALUE!</v>
          </cell>
          <cell r="G101" t="str">
            <v>kW</v>
          </cell>
          <cell r="K101" t="e">
            <v>#VALUE!</v>
          </cell>
          <cell r="L101" t="str">
            <v>kW</v>
          </cell>
        </row>
        <row r="102">
          <cell r="B102" t="str">
            <v>Maximale Wärmeleistung der Wärmepumpe bei tleist</v>
          </cell>
          <cell r="D102" t="str">
            <v>Pleist</v>
          </cell>
          <cell r="F102" t="e">
            <v>#VALUE!</v>
          </cell>
          <cell r="G102" t="str">
            <v>kW</v>
          </cell>
          <cell r="K102" t="e">
            <v>#VALUE!</v>
          </cell>
          <cell r="L102" t="str">
            <v>kW</v>
          </cell>
        </row>
        <row r="103">
          <cell r="B103" t="str">
            <v>Heizlast</v>
          </cell>
          <cell r="D103" t="str">
            <v>PH</v>
          </cell>
          <cell r="F103">
            <v>1.8542956931697205</v>
          </cell>
          <cell r="G103" t="str">
            <v>kW</v>
          </cell>
          <cell r="K103">
            <v>1.8542956931697205</v>
          </cell>
          <cell r="L103" t="str">
            <v>kW</v>
          </cell>
        </row>
        <row r="104">
          <cell r="B104" t="str">
            <v>Zahl der Heiztage</v>
          </cell>
          <cell r="D104" t="str">
            <v>tHeiztage</v>
          </cell>
          <cell r="F104">
            <v>0</v>
          </cell>
          <cell r="G104" t="str">
            <v>d</v>
          </cell>
          <cell r="K104">
            <v>0</v>
          </cell>
          <cell r="L104" t="str">
            <v>d</v>
          </cell>
        </row>
        <row r="105">
          <cell r="B105" t="str">
            <v>Zahl der Heiztage bei nutzbarer Wärme Bereitschaftsbetrieb</v>
          </cell>
          <cell r="D105" t="str">
            <v>tBereit</v>
          </cell>
          <cell r="F105" t="e">
            <v>#VALUE!</v>
          </cell>
          <cell r="G105" t="str">
            <v>d</v>
          </cell>
          <cell r="K105" t="e">
            <v>#VALUE!</v>
          </cell>
          <cell r="L105" t="str">
            <v>d</v>
          </cell>
        </row>
        <row r="106">
          <cell r="B106" t="str">
            <v>Zahl der Tage am Schnittpunkt WW-Leist. und Bedarf</v>
          </cell>
          <cell r="D106" t="str">
            <v>tleist</v>
          </cell>
          <cell r="F106" t="e">
            <v>#VALUE!</v>
          </cell>
          <cell r="G106" t="str">
            <v>d</v>
          </cell>
          <cell r="K106" t="e">
            <v>#VALUE!</v>
          </cell>
          <cell r="L106" t="str">
            <v>d</v>
          </cell>
        </row>
        <row r="108">
          <cell r="B108" t="str">
            <v>Regressionskonstanten Dauerlinie Außenlufttemperatur</v>
          </cell>
          <cell r="D108" t="str">
            <v>a =</v>
          </cell>
          <cell r="F108">
            <v>0.34245861</v>
          </cell>
        </row>
        <row r="109">
          <cell r="D109" t="str">
            <v>b =</v>
          </cell>
          <cell r="F109">
            <v>-4.9486E-5</v>
          </cell>
        </row>
        <row r="110">
          <cell r="D110" t="str">
            <v>c =</v>
          </cell>
          <cell r="F110" t="e">
            <v>#VALUE!</v>
          </cell>
        </row>
        <row r="111">
          <cell r="B111" t="str">
            <v>Zus. Außenluftbeim-EWÜ-Temp. bzw. Außenlufttemperatur</v>
          </cell>
          <cell r="D111" t="str">
            <v>TEWÜ,zus bzw. Tamb</v>
          </cell>
          <cell r="F111">
            <v>20</v>
          </cell>
          <cell r="G111" t="str">
            <v>°C</v>
          </cell>
          <cell r="H111">
            <v>20</v>
          </cell>
          <cell r="I111" t="str">
            <v>°C</v>
          </cell>
        </row>
        <row r="112">
          <cell r="B112" t="str">
            <v>Mitteltemperatur Sommer</v>
          </cell>
          <cell r="D112" t="str">
            <v>Tamb,Sommer</v>
          </cell>
          <cell r="F112">
            <v>20</v>
          </cell>
          <cell r="G112" t="str">
            <v>°C</v>
          </cell>
          <cell r="H112">
            <v>20</v>
          </cell>
          <cell r="I112" t="str">
            <v>°C</v>
          </cell>
        </row>
        <row r="113">
          <cell r="B113" t="str">
            <v>Zus. Außenluftbeim-EWÜ-Temp. bzw. Außenlufttemperatur</v>
          </cell>
          <cell r="D113" t="str">
            <v>TEWÜ,zus bzw. Tamb</v>
          </cell>
          <cell r="F113">
            <v>-0.61833333333333318</v>
          </cell>
          <cell r="G113" t="str">
            <v>°C</v>
          </cell>
          <cell r="H113">
            <v>-0.61833333333333318</v>
          </cell>
          <cell r="I113" t="str">
            <v>°C</v>
          </cell>
        </row>
        <row r="114">
          <cell r="B114" t="str">
            <v>Mitteltemperatur Kernwinter</v>
          </cell>
          <cell r="D114" t="str">
            <v>Tamb,mittel</v>
          </cell>
          <cell r="F114" t="e">
            <v>#VALUE!</v>
          </cell>
          <cell r="G114" t="str">
            <v>°C</v>
          </cell>
          <cell r="H114">
            <v>-0.61833333333333318</v>
          </cell>
          <cell r="I114" t="str">
            <v>°C</v>
          </cell>
        </row>
        <row r="115">
          <cell r="B115" t="str">
            <v>Zus. Außenluftbeim-EWÜ-Temp. bzw. Außenlufttemperatur</v>
          </cell>
          <cell r="D115" t="str">
            <v>TEWÜ,zus bzw. Tamb</v>
          </cell>
          <cell r="F115" t="e">
            <v>#VALUE!</v>
          </cell>
          <cell r="G115" t="str">
            <v>°C</v>
          </cell>
          <cell r="H115" t="e">
            <v>#VALUE!</v>
          </cell>
          <cell r="I115" t="str">
            <v>°C</v>
          </cell>
        </row>
        <row r="116">
          <cell r="B116" t="str">
            <v>Außenlufttemperatur bei tBereit</v>
          </cell>
          <cell r="D116" t="str">
            <v>TBereit</v>
          </cell>
          <cell r="F116" t="e">
            <v>#VALUE!</v>
          </cell>
          <cell r="G116" t="str">
            <v>°C</v>
          </cell>
          <cell r="H116" t="e">
            <v>#VALUE!</v>
          </cell>
          <cell r="I116" t="str">
            <v>°C</v>
          </cell>
        </row>
        <row r="117">
          <cell r="B117" t="str">
            <v>Zus. Außenluftbeim-EWÜ-Temp. bzw. Außenlufttemperatur</v>
          </cell>
          <cell r="D117" t="str">
            <v>TEWÜ,zus bzw. Tamb</v>
          </cell>
          <cell r="F117">
            <v>-11.3257003969418</v>
          </cell>
          <cell r="G117" t="str">
            <v>°C</v>
          </cell>
          <cell r="H117">
            <v>-11.3257003969418</v>
          </cell>
          <cell r="I117" t="str">
            <v>°C</v>
          </cell>
        </row>
        <row r="118">
          <cell r="B118" t="str">
            <v>Außenlufttemperatur nach Außenluft-EWÜ im Heizlastfall</v>
          </cell>
          <cell r="D118" t="str">
            <v>THeizlast</v>
          </cell>
          <cell r="F118" t="e">
            <v>#VALUE!</v>
          </cell>
          <cell r="G118" t="str">
            <v>°C</v>
          </cell>
          <cell r="H118">
            <v>-11.3257003969418</v>
          </cell>
          <cell r="I118" t="str">
            <v>°C</v>
          </cell>
        </row>
        <row r="119">
          <cell r="B119" t="str">
            <v>Mittlere Außenlufttemperatur im Bereich 0 bis tleist</v>
          </cell>
          <cell r="F119" t="e">
            <v>#VALUE!</v>
          </cell>
          <cell r="G119" t="str">
            <v>°C</v>
          </cell>
          <cell r="K119" t="e">
            <v>#VALUE!</v>
          </cell>
          <cell r="L119" t="str">
            <v>°C</v>
          </cell>
        </row>
        <row r="120">
          <cell r="B120" t="str">
            <v>Mittlere Außenlufttemperatur im Bereich tleist bis tBereit</v>
          </cell>
          <cell r="F120" t="e">
            <v>#VALUE!</v>
          </cell>
          <cell r="G120" t="str">
            <v>°C</v>
          </cell>
          <cell r="K120" t="e">
            <v>#VALUE!</v>
          </cell>
          <cell r="L120" t="str">
            <v>°C</v>
          </cell>
        </row>
        <row r="121">
          <cell r="B121" t="str">
            <v>Mittlere Außenlufttemperatur im Bereich tleist bis tHeiztage</v>
          </cell>
          <cell r="F121" t="e">
            <v>#VALUE!</v>
          </cell>
          <cell r="G121" t="str">
            <v>°C</v>
          </cell>
          <cell r="K121" t="e">
            <v>#VALUE!</v>
          </cell>
          <cell r="L121" t="str">
            <v>°C</v>
          </cell>
        </row>
        <row r="122">
          <cell r="B122" t="str">
            <v>Leistung der WP Bereitschaft bei THeizlast bzw. TBereit</v>
          </cell>
          <cell r="D122" t="str">
            <v>PWP,Bereit(THeizlast bzw. TBereit)</v>
          </cell>
          <cell r="F122" t="e">
            <v>#VALUE!</v>
          </cell>
          <cell r="G122" t="str">
            <v>kW</v>
          </cell>
          <cell r="H122" t="e">
            <v>#VALUE!</v>
          </cell>
          <cell r="I122" t="str">
            <v>kW</v>
          </cell>
          <cell r="K122" t="e">
            <v>#VALUE!</v>
          </cell>
          <cell r="L122" t="str">
            <v>kW</v>
          </cell>
          <cell r="M122" t="e">
            <v>#VALUE!</v>
          </cell>
          <cell r="N122" t="str">
            <v>kW</v>
          </cell>
        </row>
        <row r="123">
          <cell r="B123" t="str">
            <v>Leistung der WP Warmwasser bei THeizlast bzw. TBereit</v>
          </cell>
          <cell r="D123" t="str">
            <v>PWP,WW(THeizlast bzw. TBereit)</v>
          </cell>
          <cell r="F123" t="e">
            <v>#VALUE!</v>
          </cell>
          <cell r="G123" t="str">
            <v>kW</v>
          </cell>
          <cell r="H123" t="e">
            <v>#VALUE!</v>
          </cell>
          <cell r="I123" t="str">
            <v>kW</v>
          </cell>
          <cell r="K123" t="e">
            <v>#VALUE!</v>
          </cell>
          <cell r="L123" t="str">
            <v>kW</v>
          </cell>
          <cell r="M123" t="e">
            <v>#VALUE!</v>
          </cell>
          <cell r="N123" t="str">
            <v>kW</v>
          </cell>
        </row>
        <row r="124">
          <cell r="B124" t="str">
            <v>Leistung der WP Heizung bei THeizlast bzw.  TBereit</v>
          </cell>
          <cell r="D124" t="str">
            <v>PWP,Heiz(THeizlast bzw. TBereit)</v>
          </cell>
          <cell r="F124" t="e">
            <v>#VALUE!</v>
          </cell>
          <cell r="G124" t="str">
            <v>kW</v>
          </cell>
          <cell r="H124" t="e">
            <v>#VALUE!</v>
          </cell>
          <cell r="I124" t="str">
            <v>kW</v>
          </cell>
          <cell r="K124" t="e">
            <v>#VALUE!</v>
          </cell>
          <cell r="L124" t="str">
            <v>kW</v>
          </cell>
          <cell r="M124" t="e">
            <v>#VALUE!</v>
          </cell>
          <cell r="N124" t="str">
            <v>kW</v>
          </cell>
        </row>
        <row r="125">
          <cell r="B125" t="str">
            <v>Laufzeit Bereitschaftsbetrieb bei THeizlast  bzw.  TBereit</v>
          </cell>
          <cell r="D125" t="str">
            <v>gBereit</v>
          </cell>
          <cell r="F125" t="e">
            <v>#VALUE!</v>
          </cell>
          <cell r="G125" t="str">
            <v>h</v>
          </cell>
          <cell r="H125" t="e">
            <v>#VALUE!</v>
          </cell>
          <cell r="I125" t="str">
            <v>h</v>
          </cell>
          <cell r="K125" t="e">
            <v>#VALUE!</v>
          </cell>
          <cell r="L125" t="str">
            <v>h</v>
          </cell>
          <cell r="M125" t="e">
            <v>#VALUE!</v>
          </cell>
          <cell r="N125" t="str">
            <v>h</v>
          </cell>
        </row>
        <row r="126">
          <cell r="B126" t="str">
            <v>Laufzeit Warmwasserbetrieb bei THeizlast  bzw.  TBereit</v>
          </cell>
          <cell r="D126" t="str">
            <v>gWW</v>
          </cell>
          <cell r="F126" t="e">
            <v>#VALUE!</v>
          </cell>
          <cell r="G126" t="str">
            <v>h</v>
          </cell>
          <cell r="H126" t="e">
            <v>#VALUE!</v>
          </cell>
          <cell r="I126" t="str">
            <v>h</v>
          </cell>
          <cell r="K126" t="e">
            <v>#VALUE!</v>
          </cell>
          <cell r="L126" t="str">
            <v>h</v>
          </cell>
          <cell r="M126" t="e">
            <v>#VALUE!</v>
          </cell>
          <cell r="N126" t="str">
            <v>h</v>
          </cell>
        </row>
        <row r="127">
          <cell r="B127" t="str">
            <v>Laufzeit Heizbetrieb bei THeizlast  bzw.  TBereit</v>
          </cell>
          <cell r="D127" t="str">
            <v>gHeiz</v>
          </cell>
          <cell r="F127" t="e">
            <v>#VALUE!</v>
          </cell>
          <cell r="G127" t="str">
            <v>h</v>
          </cell>
          <cell r="H127">
            <v>0</v>
          </cell>
          <cell r="I127" t="str">
            <v>h</v>
          </cell>
          <cell r="K127" t="e">
            <v>#VALUE!</v>
          </cell>
          <cell r="L127" t="str">
            <v>h</v>
          </cell>
          <cell r="M127">
            <v>0</v>
          </cell>
          <cell r="N127" t="str">
            <v>h</v>
          </cell>
        </row>
        <row r="128">
          <cell r="B128" t="str">
            <v>Tagesm. Heizl. am Heizlasttag bzw. bei tBereit</v>
          </cell>
          <cell r="D128" t="str">
            <v>PWP max, Heizlast bzw. tbereit</v>
          </cell>
          <cell r="F128" t="e">
            <v>#VALUE!</v>
          </cell>
          <cell r="G128" t="str">
            <v>kW</v>
          </cell>
          <cell r="H128" t="e">
            <v>#VALUE!</v>
          </cell>
          <cell r="I128" t="str">
            <v>kW</v>
          </cell>
          <cell r="K128" t="e">
            <v>#VALUE!</v>
          </cell>
          <cell r="L128" t="str">
            <v>kW</v>
          </cell>
          <cell r="M128" t="e">
            <v>#VALUE!</v>
          </cell>
          <cell r="N128" t="str">
            <v>kW</v>
          </cell>
        </row>
        <row r="130">
          <cell r="B130" t="str">
            <v>Heizgrenztemperatur</v>
          </cell>
          <cell r="D130" t="str">
            <v>THeizgrenz</v>
          </cell>
          <cell r="F130" t="e">
            <v>#VALUE!</v>
          </cell>
          <cell r="G130" t="str">
            <v>°C</v>
          </cell>
          <cell r="K130" t="e">
            <v>#VALUE!</v>
          </cell>
          <cell r="L130" t="str">
            <v>°C</v>
          </cell>
        </row>
        <row r="131">
          <cell r="B131" t="str">
            <v>Leistung Warmwasser</v>
          </cell>
          <cell r="D131" t="str">
            <v>PWW</v>
          </cell>
          <cell r="E131" t="str">
            <v>(Blatt WW+Verteil)</v>
          </cell>
          <cell r="F131">
            <v>0</v>
          </cell>
          <cell r="G131" t="str">
            <v>kW</v>
          </cell>
          <cell r="K131">
            <v>0.63567726311734185</v>
          </cell>
          <cell r="L131" t="str">
            <v>kW</v>
          </cell>
        </row>
        <row r="132">
          <cell r="B132" t="str">
            <v>Leistung Warmwasser,Sommer</v>
          </cell>
          <cell r="D132" t="str">
            <v>PWW,S</v>
          </cell>
          <cell r="E132" t="str">
            <v>(Blatt WW+Verteil)</v>
          </cell>
          <cell r="F132">
            <v>0</v>
          </cell>
          <cell r="G132" t="str">
            <v>kW</v>
          </cell>
          <cell r="K132">
            <v>0</v>
          </cell>
          <cell r="L132" t="str">
            <v>kW</v>
          </cell>
        </row>
        <row r="133">
          <cell r="B133" t="str">
            <v>Maximalleistung (WW+Heizlast)</v>
          </cell>
          <cell r="D133" t="str">
            <v>Pmax</v>
          </cell>
          <cell r="E133" t="str">
            <v xml:space="preserve"> = Pww+PH</v>
          </cell>
          <cell r="F133">
            <v>1.8542956931697205</v>
          </cell>
          <cell r="G133" t="str">
            <v>kW</v>
          </cell>
          <cell r="K133">
            <v>2.4899729562870623</v>
          </cell>
          <cell r="L133" t="str">
            <v>kW</v>
          </cell>
        </row>
      </sheetData>
      <sheetData sheetId="61"/>
      <sheetData sheetId="62"/>
      <sheetData sheetId="63"/>
      <sheetData sheetId="64"/>
      <sheetData sheetId="65"/>
      <sheetData sheetId="66"/>
      <sheetData sheetId="67"/>
      <sheetData sheetId="68"/>
      <sheetData sheetId="69"/>
      <sheetData sheetId="70"/>
      <sheetData sheetId="71"/>
      <sheetData sheetId="7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681433-3198-477B-9A47-C495B278FE3C}">
  <dimension ref="A1:AJ128"/>
  <sheetViews>
    <sheetView tabSelected="1" zoomScale="80" zoomScaleNormal="80" workbookViewId="0"/>
  </sheetViews>
  <sheetFormatPr defaultColWidth="8.88671875" defaultRowHeight="15.6" x14ac:dyDescent="0.35"/>
  <cols>
    <col min="1" max="1" width="2.6640625" style="3" customWidth="1"/>
    <col min="2" max="2" width="50.6640625" style="4" customWidth="1"/>
    <col min="3" max="4" width="16.77734375" style="4" customWidth="1"/>
    <col min="5" max="15" width="7.33203125" style="4" customWidth="1"/>
    <col min="16" max="16" width="6.44140625" style="4" customWidth="1"/>
    <col min="17" max="17" width="7.21875" style="1" bestFit="1" customWidth="1"/>
    <col min="18" max="18" width="5.77734375" style="1" bestFit="1" customWidth="1"/>
    <col min="19" max="20" width="4.88671875" style="1" bestFit="1" customWidth="1"/>
    <col min="21" max="22" width="6" style="1" bestFit="1" customWidth="1"/>
    <col min="23" max="23" width="14.77734375" style="1" bestFit="1" customWidth="1"/>
    <col min="24" max="24" width="5.33203125" style="1" bestFit="1" customWidth="1"/>
    <col min="25" max="26" width="6" style="1" bestFit="1" customWidth="1"/>
    <col min="27" max="27" width="14.77734375" style="1" bestFit="1" customWidth="1"/>
    <col min="28" max="28" width="5.33203125" style="1" bestFit="1" customWidth="1"/>
    <col min="29" max="29" width="4.88671875" style="1" bestFit="1" customWidth="1"/>
    <col min="30" max="30" width="4.88671875" style="3" bestFit="1" customWidth="1"/>
    <col min="31" max="31" width="6.21875" style="3" bestFit="1" customWidth="1"/>
    <col min="32" max="32" width="15" style="3" bestFit="1" customWidth="1"/>
    <col min="33" max="33" width="12.44140625" style="3" customWidth="1"/>
    <col min="34" max="16384" width="8.88671875" style="3"/>
  </cols>
  <sheetData>
    <row r="1" spans="1:29" x14ac:dyDescent="0.35">
      <c r="B1" s="41"/>
    </row>
    <row r="2" spans="1:29" ht="30" customHeight="1" thickBot="1" x14ac:dyDescent="0.4">
      <c r="B2" s="91" t="s">
        <v>1133</v>
      </c>
      <c r="C2" s="92"/>
      <c r="D2" s="92"/>
      <c r="E2" s="92"/>
      <c r="F2" s="92"/>
      <c r="G2" s="92"/>
      <c r="H2" s="92"/>
      <c r="I2" s="92"/>
      <c r="J2" s="92"/>
      <c r="K2" s="92"/>
      <c r="L2" s="92"/>
      <c r="M2" s="92"/>
      <c r="N2" s="92"/>
      <c r="O2" s="92"/>
    </row>
    <row r="3" spans="1:29" ht="34.950000000000003" customHeight="1" x14ac:dyDescent="0.35">
      <c r="B3" s="38" t="s">
        <v>1170</v>
      </c>
      <c r="C3" s="25" t="s">
        <v>0</v>
      </c>
      <c r="D3" s="37" t="str">
        <f>IF(C4="USA","State",IF(C4="Select","State","Province"))</f>
        <v>State</v>
      </c>
      <c r="E3" s="160" t="s">
        <v>1191</v>
      </c>
      <c r="F3" s="161"/>
      <c r="G3" s="161"/>
      <c r="H3" s="161"/>
      <c r="I3" s="161"/>
      <c r="J3" s="161"/>
      <c r="K3" s="161"/>
      <c r="L3" s="161"/>
      <c r="M3" s="161"/>
      <c r="N3" s="161"/>
      <c r="O3" s="162"/>
      <c r="P3" s="1"/>
      <c r="Y3" s="3"/>
    </row>
    <row r="4" spans="1:29" ht="33.6" customHeight="1" x14ac:dyDescent="0.35">
      <c r="B4" s="5" t="s">
        <v>1171</v>
      </c>
      <c r="C4" s="6" t="s">
        <v>77</v>
      </c>
      <c r="D4" s="6" t="s">
        <v>49</v>
      </c>
      <c r="E4" s="163"/>
      <c r="F4" s="164"/>
      <c r="G4" s="164"/>
      <c r="H4" s="164"/>
      <c r="I4" s="164"/>
      <c r="J4" s="164"/>
      <c r="K4" s="164"/>
      <c r="L4" s="164"/>
      <c r="M4" s="164"/>
      <c r="N4" s="164"/>
      <c r="O4" s="165"/>
      <c r="P4" s="1"/>
      <c r="Y4" s="3"/>
    </row>
    <row r="5" spans="1:29" ht="36.6" customHeight="1" x14ac:dyDescent="0.35">
      <c r="B5" s="39" t="str">
        <f>IF(B4="Typical", "Phius Climate Location", "Custom Climate Location")</f>
        <v>Phius Climate Location</v>
      </c>
      <c r="C5" s="40" t="str">
        <f>IF(B4="Typical","", "99% Dry Bulb Temp. [°F]")</f>
        <v/>
      </c>
      <c r="D5" s="40" t="str">
        <f>IF(B4="Typical", "", "1% Dry Bulb Temp. [°F]")</f>
        <v/>
      </c>
      <c r="E5" s="163"/>
      <c r="F5" s="164"/>
      <c r="G5" s="164"/>
      <c r="H5" s="164"/>
      <c r="I5" s="164"/>
      <c r="J5" s="164"/>
      <c r="K5" s="164"/>
      <c r="L5" s="164"/>
      <c r="M5" s="164"/>
      <c r="N5" s="164"/>
      <c r="O5" s="165"/>
      <c r="P5" s="1"/>
      <c r="Y5" s="3"/>
    </row>
    <row r="6" spans="1:29" ht="37.799999999999997" customHeight="1" thickBot="1" x14ac:dyDescent="0.4">
      <c r="B6" s="7" t="s">
        <v>538</v>
      </c>
      <c r="C6" s="8"/>
      <c r="D6" s="8"/>
      <c r="E6" s="166"/>
      <c r="F6" s="167"/>
      <c r="G6" s="167"/>
      <c r="H6" s="167"/>
      <c r="I6" s="167"/>
      <c r="J6" s="167"/>
      <c r="K6" s="167"/>
      <c r="L6" s="167"/>
      <c r="M6" s="167"/>
      <c r="N6" s="167"/>
      <c r="O6" s="168"/>
      <c r="Y6" s="3"/>
    </row>
    <row r="7" spans="1:29" ht="16.2" thickBot="1" x14ac:dyDescent="0.4">
      <c r="A7" s="4"/>
      <c r="Y7" s="3"/>
    </row>
    <row r="8" spans="1:29" ht="82.2" customHeight="1" x14ac:dyDescent="0.35">
      <c r="A8" s="4"/>
      <c r="B8" s="169" t="s">
        <v>1192</v>
      </c>
      <c r="C8" s="170"/>
      <c r="D8" s="170"/>
      <c r="E8" s="170"/>
      <c r="F8" s="170"/>
      <c r="G8" s="170"/>
      <c r="H8" s="170"/>
      <c r="I8" s="170"/>
      <c r="J8" s="170"/>
      <c r="K8" s="170"/>
      <c r="L8" s="170"/>
      <c r="M8" s="170"/>
      <c r="N8" s="170"/>
      <c r="O8" s="171"/>
      <c r="Y8" s="3"/>
    </row>
    <row r="9" spans="1:29" ht="82.2" customHeight="1" thickBot="1" x14ac:dyDescent="0.4">
      <c r="A9" s="4"/>
      <c r="B9" s="172"/>
      <c r="C9" s="173"/>
      <c r="D9" s="173"/>
      <c r="E9" s="173"/>
      <c r="F9" s="173"/>
      <c r="G9" s="173"/>
      <c r="H9" s="173"/>
      <c r="I9" s="173"/>
      <c r="J9" s="173"/>
      <c r="K9" s="173"/>
      <c r="L9" s="173"/>
      <c r="M9" s="173"/>
      <c r="N9" s="173"/>
      <c r="O9" s="174"/>
      <c r="Y9" s="3"/>
    </row>
    <row r="10" spans="1:29" ht="39" customHeight="1" x14ac:dyDescent="0.35">
      <c r="A10" s="4"/>
      <c r="Y10" s="3"/>
    </row>
    <row r="11" spans="1:29" ht="39" customHeight="1" x14ac:dyDescent="0.35">
      <c r="A11" s="4"/>
      <c r="Y11" s="3"/>
    </row>
    <row r="12" spans="1:29" ht="46.8" customHeight="1" x14ac:dyDescent="0.35">
      <c r="A12" s="4"/>
      <c r="B12" s="3"/>
      <c r="C12" s="3"/>
      <c r="D12" s="3"/>
      <c r="E12" s="3"/>
      <c r="F12" s="3"/>
      <c r="G12" s="3"/>
      <c r="H12" s="3"/>
      <c r="I12" s="3"/>
      <c r="J12" s="3"/>
      <c r="K12" s="3"/>
      <c r="L12" s="3"/>
      <c r="M12" s="3"/>
      <c r="N12" s="3"/>
      <c r="O12" s="3"/>
      <c r="Y12" s="3"/>
    </row>
    <row r="13" spans="1:29" ht="24.6" customHeight="1" thickBot="1" x14ac:dyDescent="0.4">
      <c r="A13" s="4"/>
      <c r="B13" s="3"/>
      <c r="C13" s="3"/>
      <c r="D13" s="3"/>
      <c r="E13" s="3"/>
      <c r="F13" s="3"/>
      <c r="G13" s="3"/>
      <c r="H13" s="3"/>
      <c r="I13" s="3"/>
      <c r="J13" s="3"/>
      <c r="K13" s="3"/>
      <c r="L13" s="3"/>
      <c r="M13" s="3"/>
      <c r="N13" s="3"/>
      <c r="O13" s="3"/>
      <c r="Y13" s="3"/>
    </row>
    <row r="14" spans="1:29" ht="30" hidden="1" customHeight="1" thickBot="1" x14ac:dyDescent="0.4">
      <c r="A14" s="4"/>
      <c r="B14" s="91" t="str">
        <f>IF(C28="-","Enter 'System Performance Data' below to attain Results for WUFI Passive.","Results for WUFI Passive")</f>
        <v>Results for WUFI Passive</v>
      </c>
      <c r="C14" s="92"/>
      <c r="D14" s="92"/>
      <c r="E14" s="92"/>
      <c r="F14" s="92"/>
      <c r="G14" s="92"/>
      <c r="H14" s="92"/>
      <c r="I14" s="92"/>
      <c r="J14" s="92"/>
      <c r="K14" s="92"/>
      <c r="L14" s="92"/>
      <c r="M14" s="92"/>
      <c r="N14" s="92"/>
      <c r="O14" s="92"/>
      <c r="Y14" s="3"/>
    </row>
    <row r="15" spans="1:29" ht="25.05" hidden="1" customHeight="1" x14ac:dyDescent="0.35">
      <c r="B15" s="149" t="s">
        <v>1161</v>
      </c>
      <c r="C15" s="150"/>
      <c r="D15" s="70" t="s">
        <v>1169</v>
      </c>
      <c r="E15" s="134" t="str">
        <f>IF(C16="-","If no cooling via Ventilation Air, no inputs required.","System &gt; Distribution &gt; Cooling: Check the box for 'Cooling via ventilation air'.")</f>
        <v>If no cooling via Ventilation Air, no inputs required.</v>
      </c>
      <c r="F15" s="135"/>
      <c r="G15" s="135"/>
      <c r="H15" s="135"/>
      <c r="I15" s="135"/>
      <c r="J15" s="135"/>
      <c r="K15" s="135"/>
      <c r="L15" s="135"/>
      <c r="M15" s="135"/>
      <c r="N15" s="135"/>
      <c r="O15" s="136"/>
      <c r="P15" s="3"/>
      <c r="S15" s="3"/>
      <c r="Z15" s="3"/>
      <c r="AA15" s="3"/>
      <c r="AB15" s="3"/>
      <c r="AC15" s="3"/>
    </row>
    <row r="16" spans="1:29" ht="34.950000000000003" hidden="1" customHeight="1" x14ac:dyDescent="0.35">
      <c r="B16" s="9" t="s">
        <v>1159</v>
      </c>
      <c r="C16" s="65" t="s">
        <v>1145</v>
      </c>
      <c r="D16" s="71"/>
      <c r="E16" s="143" t="str">
        <f>IF(C16="-","-","Under Systems &gt; Create the number of systems noted to the left and add a heat pump device to each system.")</f>
        <v>-</v>
      </c>
      <c r="F16" s="144"/>
      <c r="G16" s="144"/>
      <c r="H16" s="144"/>
      <c r="I16" s="144"/>
      <c r="J16" s="144"/>
      <c r="K16" s="144"/>
      <c r="L16" s="144"/>
      <c r="M16" s="144"/>
      <c r="N16" s="144"/>
      <c r="O16" s="145"/>
      <c r="P16" s="3"/>
      <c r="S16" s="3"/>
      <c r="Z16" s="3"/>
      <c r="AA16" s="3"/>
      <c r="AB16" s="3"/>
      <c r="AC16" s="3"/>
    </row>
    <row r="17" spans="2:36" ht="34.950000000000003" hidden="1" customHeight="1" x14ac:dyDescent="0.35">
      <c r="B17" s="9" t="str">
        <f>IF(OR(C16=1,C16="-"),"Supply Air Cooling Capacity","Supply Air Cooling Capacity / system")</f>
        <v>Supply Air Cooling Capacity</v>
      </c>
      <c r="C17" s="65" t="s">
        <v>1145</v>
      </c>
      <c r="D17" s="72" t="s">
        <v>1164</v>
      </c>
      <c r="E17" s="143" t="str">
        <f>IF(C16="-","-",IF(C16=1,"Input the cooling capacity calculated to the left. A ton of cooling is equivalent to 12 kBtu/hr.","Input the cooling capacity calculated to the left per system. A ton of cooling is equivalent to 12 kBtu/hr."))</f>
        <v>-</v>
      </c>
      <c r="F17" s="144"/>
      <c r="G17" s="144"/>
      <c r="H17" s="144"/>
      <c r="I17" s="144"/>
      <c r="J17" s="144"/>
      <c r="K17" s="144"/>
      <c r="L17" s="144"/>
      <c r="M17" s="144"/>
      <c r="N17" s="144"/>
      <c r="O17" s="145"/>
      <c r="P17" s="3"/>
      <c r="S17" s="3"/>
      <c r="Z17" s="3"/>
      <c r="AA17" s="3"/>
      <c r="AB17" s="3"/>
      <c r="AC17" s="3"/>
    </row>
    <row r="18" spans="2:36" ht="34.950000000000003" hidden="1" customHeight="1" thickBot="1" x14ac:dyDescent="0.4">
      <c r="B18" s="10" t="str">
        <f>IF(OR(C16=1,C16="-"),"Supply Air Cooling COP", "Supply Air Cooling COP / system")</f>
        <v>Supply Air Cooling COP</v>
      </c>
      <c r="C18" s="66" t="s">
        <v>1145</v>
      </c>
      <c r="D18" s="73"/>
      <c r="E18" s="146" t="str">
        <f>IF(C16="-","-","The value calculated to the left is the weighted average COP for the cooling system as a whole.")</f>
        <v>-</v>
      </c>
      <c r="F18" s="147"/>
      <c r="G18" s="147"/>
      <c r="H18" s="147"/>
      <c r="I18" s="147"/>
      <c r="J18" s="147"/>
      <c r="K18" s="147"/>
      <c r="L18" s="147"/>
      <c r="M18" s="147"/>
      <c r="N18" s="147"/>
      <c r="O18" s="148"/>
      <c r="P18" s="3"/>
      <c r="S18" s="3"/>
      <c r="Z18" s="3"/>
      <c r="AA18" s="3"/>
      <c r="AB18" s="3"/>
      <c r="AC18" s="3"/>
    </row>
    <row r="19" spans="2:36" ht="58.2" customHeight="1" thickBot="1" x14ac:dyDescent="0.4">
      <c r="B19" s="149" t="s">
        <v>1160</v>
      </c>
      <c r="C19" s="150"/>
      <c r="D19" s="77" t="s">
        <v>1169</v>
      </c>
      <c r="E19" s="134" t="str">
        <f>IF(C20="-","If no cooling via Recirculation Air, no inputs required.","System &gt; Distribution &gt; Cooling: Check the box for 'Cooling via air recirculation'.")</f>
        <v>System &gt; Distribution &gt; Cooling: Check the box for 'Cooling via air recirculation'.</v>
      </c>
      <c r="F19" s="135"/>
      <c r="G19" s="135"/>
      <c r="H19" s="135"/>
      <c r="I19" s="135"/>
      <c r="J19" s="135"/>
      <c r="K19" s="135"/>
      <c r="L19" s="135"/>
      <c r="M19" s="135"/>
      <c r="N19" s="135"/>
      <c r="O19" s="136"/>
      <c r="P19" s="3"/>
      <c r="Q19" s="42"/>
      <c r="R19" s="42"/>
      <c r="S19" s="3"/>
      <c r="T19" s="42"/>
      <c r="U19" s="42"/>
      <c r="V19" s="42"/>
      <c r="W19" s="42"/>
      <c r="X19" s="42"/>
      <c r="Y19" s="42"/>
      <c r="Z19" s="3"/>
      <c r="AA19" s="3"/>
      <c r="AB19" s="3"/>
      <c r="AC19" s="3"/>
    </row>
    <row r="20" spans="2:36" ht="78" customHeight="1" x14ac:dyDescent="0.35">
      <c r="B20" s="9" t="s">
        <v>1159</v>
      </c>
      <c r="C20" s="65">
        <v>6</v>
      </c>
      <c r="D20" s="157"/>
      <c r="E20" s="151" t="s">
        <v>1236</v>
      </c>
      <c r="F20" s="151"/>
      <c r="G20" s="151"/>
      <c r="H20" s="151"/>
      <c r="I20" s="151"/>
      <c r="J20" s="151"/>
      <c r="K20" s="151"/>
      <c r="L20" s="151"/>
      <c r="M20" s="151"/>
      <c r="N20" s="151"/>
      <c r="O20" s="152"/>
      <c r="P20" s="3"/>
      <c r="Q20" s="42"/>
      <c r="R20" s="42"/>
      <c r="S20" s="3"/>
      <c r="T20" s="42"/>
      <c r="U20" s="42"/>
      <c r="V20" s="42"/>
      <c r="W20" s="42"/>
      <c r="X20" s="42"/>
      <c r="Y20" s="42"/>
      <c r="Z20" s="3"/>
      <c r="AA20" s="3"/>
      <c r="AB20" s="3"/>
      <c r="AC20" s="3"/>
    </row>
    <row r="21" spans="2:36" ht="78" customHeight="1" x14ac:dyDescent="0.35">
      <c r="B21" s="9" t="str">
        <f>IF(OR(C20=1,C20="-"),"Space Cooling Coverage","Space Cooling Coverage / system")</f>
        <v>Space Cooling Coverage / system</v>
      </c>
      <c r="C21" s="67">
        <v>0.17</v>
      </c>
      <c r="D21" s="158"/>
      <c r="E21" s="153"/>
      <c r="F21" s="153"/>
      <c r="G21" s="153"/>
      <c r="H21" s="153"/>
      <c r="I21" s="153"/>
      <c r="J21" s="153"/>
      <c r="K21" s="153"/>
      <c r="L21" s="153"/>
      <c r="M21" s="153"/>
      <c r="N21" s="153"/>
      <c r="O21" s="154"/>
      <c r="P21" s="3"/>
      <c r="Q21" s="42"/>
      <c r="R21" s="42"/>
      <c r="S21" s="42"/>
      <c r="T21" s="42"/>
      <c r="U21" s="42"/>
      <c r="V21" s="42"/>
      <c r="W21" s="42"/>
      <c r="X21" s="42"/>
      <c r="Y21" s="42"/>
      <c r="Z21" s="3"/>
      <c r="AA21" s="3"/>
      <c r="AB21" s="3"/>
      <c r="AC21" s="3"/>
    </row>
    <row r="22" spans="2:36" ht="78" customHeight="1" x14ac:dyDescent="0.35">
      <c r="B22" s="9" t="str">
        <f>IF(OR(C20=1,C20="-"),"Recirculation Air Flow Rate", "Recirculation Air Flow Rate / system")</f>
        <v>Recirculation Air Flow Rate / system</v>
      </c>
      <c r="C22" s="68">
        <v>15200</v>
      </c>
      <c r="D22" s="158"/>
      <c r="E22" s="153"/>
      <c r="F22" s="153"/>
      <c r="G22" s="153"/>
      <c r="H22" s="153"/>
      <c r="I22" s="153"/>
      <c r="J22" s="153"/>
      <c r="K22" s="153"/>
      <c r="L22" s="153"/>
      <c r="M22" s="153"/>
      <c r="N22" s="153"/>
      <c r="O22" s="154"/>
      <c r="P22" s="3"/>
      <c r="Q22" s="42"/>
      <c r="R22" s="42"/>
      <c r="S22" s="42"/>
      <c r="T22" s="42"/>
      <c r="U22" s="42"/>
      <c r="V22" s="42"/>
      <c r="W22" s="42"/>
      <c r="X22" s="42"/>
      <c r="Y22" s="42"/>
      <c r="Z22" s="3"/>
      <c r="AA22" s="3"/>
      <c r="AB22" s="3"/>
      <c r="AC22" s="3"/>
    </row>
    <row r="23" spans="2:36" ht="78" customHeight="1" x14ac:dyDescent="0.35">
      <c r="B23" s="9" t="str">
        <f>IF(OR(C20=1,C20="-"),"Recirculation Air Cooling Capacity","Recirculation Air Cooling Capacity / system")</f>
        <v>Recirculation Air Cooling Capacity / system</v>
      </c>
      <c r="C23" s="65">
        <v>608</v>
      </c>
      <c r="D23" s="158"/>
      <c r="E23" s="153"/>
      <c r="F23" s="153"/>
      <c r="G23" s="153"/>
      <c r="H23" s="153"/>
      <c r="I23" s="153"/>
      <c r="J23" s="153"/>
      <c r="K23" s="153"/>
      <c r="L23" s="153"/>
      <c r="M23" s="153"/>
      <c r="N23" s="153"/>
      <c r="O23" s="154"/>
      <c r="P23" s="3"/>
      <c r="Q23" s="42"/>
      <c r="R23" s="42"/>
      <c r="S23" s="42"/>
      <c r="T23" s="42"/>
      <c r="U23" s="42"/>
      <c r="V23" s="42"/>
      <c r="W23" s="42"/>
      <c r="X23" s="42"/>
      <c r="Y23" s="42"/>
      <c r="Z23" s="3"/>
      <c r="AA23" s="3"/>
      <c r="AB23" s="3"/>
      <c r="AC23" s="3"/>
      <c r="AJ23" s="43"/>
    </row>
    <row r="24" spans="2:36" ht="78" customHeight="1" thickBot="1" x14ac:dyDescent="0.4">
      <c r="B24" s="11" t="str">
        <f>IF(OR(C20=1,C20="-"),"Recirculation Cooling COP", "Recirculation Cooling COP / system")</f>
        <v>Recirculation Cooling COP / system</v>
      </c>
      <c r="C24" s="66">
        <v>5.51</v>
      </c>
      <c r="D24" s="159"/>
      <c r="E24" s="155"/>
      <c r="F24" s="155"/>
      <c r="G24" s="155"/>
      <c r="H24" s="155"/>
      <c r="I24" s="155"/>
      <c r="J24" s="155"/>
      <c r="K24" s="155"/>
      <c r="L24" s="155"/>
      <c r="M24" s="155"/>
      <c r="N24" s="155"/>
      <c r="O24" s="156"/>
      <c r="P24" s="3"/>
      <c r="Q24" s="42"/>
      <c r="R24" s="42"/>
      <c r="S24" s="42"/>
      <c r="T24" s="42"/>
      <c r="U24" s="42"/>
      <c r="V24" s="42"/>
      <c r="W24" s="42"/>
      <c r="X24" s="42"/>
      <c r="Y24" s="42"/>
      <c r="Z24" s="42"/>
      <c r="AA24" s="42"/>
      <c r="AB24" s="42"/>
      <c r="AC24" s="42"/>
      <c r="AD24" s="42"/>
      <c r="AE24" s="42"/>
      <c r="AF24" s="42"/>
    </row>
    <row r="25" spans="2:36" ht="16.2" customHeight="1" x14ac:dyDescent="0.35">
      <c r="B25" s="80"/>
      <c r="C25" s="81"/>
      <c r="D25" s="78"/>
      <c r="E25" s="79"/>
      <c r="F25" s="79"/>
      <c r="G25" s="79"/>
      <c r="H25" s="79"/>
      <c r="I25" s="79"/>
      <c r="J25" s="79"/>
      <c r="K25" s="79"/>
      <c r="L25" s="79"/>
      <c r="M25" s="79"/>
      <c r="N25" s="79"/>
      <c r="O25" s="79"/>
      <c r="P25" s="3"/>
      <c r="Q25" s="42"/>
      <c r="R25" s="42"/>
      <c r="S25" s="42"/>
      <c r="T25" s="42"/>
      <c r="U25" s="42"/>
      <c r="V25" s="42"/>
      <c r="W25" s="42"/>
      <c r="X25" s="42"/>
      <c r="Y25" s="42"/>
      <c r="Z25" s="42"/>
      <c r="AA25" s="42"/>
      <c r="AB25" s="42"/>
      <c r="AC25" s="42"/>
      <c r="AD25" s="42"/>
      <c r="AE25" s="42"/>
      <c r="AF25" s="42"/>
    </row>
    <row r="26" spans="2:36" ht="12.6" customHeight="1" thickBot="1" x14ac:dyDescent="0.4">
      <c r="B26" s="80"/>
      <c r="C26" s="81"/>
      <c r="D26" s="78"/>
      <c r="E26" s="79"/>
      <c r="F26" s="79"/>
      <c r="G26" s="79"/>
      <c r="H26" s="79"/>
      <c r="I26" s="79"/>
      <c r="J26" s="79"/>
      <c r="K26" s="79"/>
      <c r="L26" s="79"/>
      <c r="M26" s="79"/>
      <c r="N26" s="79"/>
      <c r="O26" s="79"/>
      <c r="P26" s="3"/>
      <c r="Q26" s="42"/>
      <c r="R26" s="42"/>
      <c r="S26" s="42"/>
      <c r="T26" s="42"/>
      <c r="U26" s="42"/>
      <c r="V26" s="42"/>
      <c r="W26" s="42"/>
      <c r="X26" s="42"/>
      <c r="Y26" s="42"/>
      <c r="Z26" s="42"/>
      <c r="AA26" s="42"/>
      <c r="AB26" s="42"/>
      <c r="AC26" s="42"/>
      <c r="AD26" s="42"/>
      <c r="AE26" s="42"/>
      <c r="AF26" s="42"/>
    </row>
    <row r="27" spans="2:36" ht="54" customHeight="1" thickBot="1" x14ac:dyDescent="0.4">
      <c r="B27" s="132" t="s">
        <v>1139</v>
      </c>
      <c r="C27" s="133"/>
      <c r="D27" s="70" t="s">
        <v>1169</v>
      </c>
      <c r="E27" s="134" t="str">
        <f>IF(C28="-","If no heating provided via heat pump, no inputs required.","System 1 &gt; General: Create a single Heat Pump Device and assign coverage to heating.")</f>
        <v>System 1 &gt; General: Create a single Heat Pump Device and assign coverage to heating.</v>
      </c>
      <c r="F27" s="135"/>
      <c r="G27" s="135"/>
      <c r="H27" s="135"/>
      <c r="I27" s="135"/>
      <c r="J27" s="135"/>
      <c r="K27" s="135"/>
      <c r="L27" s="135"/>
      <c r="M27" s="135"/>
      <c r="N27" s="135"/>
      <c r="O27" s="136"/>
      <c r="P27" s="3"/>
      <c r="Q27" s="2"/>
      <c r="R27" s="2"/>
      <c r="S27" s="2"/>
      <c r="T27" s="2"/>
      <c r="U27" s="2"/>
      <c r="V27" s="2"/>
      <c r="W27" s="2"/>
      <c r="X27" s="2"/>
      <c r="Y27" s="2"/>
      <c r="Z27" s="2"/>
      <c r="AA27" s="2"/>
      <c r="AB27" s="2"/>
      <c r="AC27" s="2"/>
      <c r="AD27" s="2"/>
      <c r="AE27" s="2"/>
      <c r="AF27" s="2"/>
    </row>
    <row r="28" spans="2:36" ht="19.95" customHeight="1" x14ac:dyDescent="0.35">
      <c r="B28" s="12" t="s">
        <v>1140</v>
      </c>
      <c r="C28" s="67">
        <v>2.09</v>
      </c>
      <c r="D28" s="74"/>
      <c r="E28" s="137" t="s">
        <v>1190</v>
      </c>
      <c r="F28" s="138"/>
      <c r="G28" s="138"/>
      <c r="H28" s="138"/>
      <c r="I28" s="138"/>
      <c r="J28" s="138"/>
      <c r="K28" s="138"/>
      <c r="L28" s="138"/>
      <c r="M28" s="138"/>
      <c r="N28" s="138"/>
      <c r="O28" s="139"/>
      <c r="P28" s="3"/>
      <c r="Q28" s="42"/>
      <c r="R28" s="42"/>
      <c r="S28" s="42"/>
      <c r="T28" s="42"/>
      <c r="U28" s="42"/>
      <c r="V28" s="42"/>
      <c r="W28" s="44"/>
      <c r="X28" s="42"/>
      <c r="Y28" s="42"/>
      <c r="Z28" s="42"/>
      <c r="AA28" s="44"/>
      <c r="AB28" s="42"/>
      <c r="AC28" s="42"/>
      <c r="AD28" s="42"/>
      <c r="AE28" s="42"/>
      <c r="AF28" s="42"/>
    </row>
    <row r="29" spans="2:36" ht="19.95" customHeight="1" thickBot="1" x14ac:dyDescent="0.4">
      <c r="B29" s="13" t="s">
        <v>1168</v>
      </c>
      <c r="C29" s="65">
        <v>17</v>
      </c>
      <c r="D29" s="72" t="s">
        <v>1166</v>
      </c>
      <c r="E29" s="137"/>
      <c r="F29" s="138"/>
      <c r="G29" s="138"/>
      <c r="H29" s="138"/>
      <c r="I29" s="138"/>
      <c r="J29" s="138"/>
      <c r="K29" s="138"/>
      <c r="L29" s="138"/>
      <c r="M29" s="138"/>
      <c r="N29" s="138"/>
      <c r="O29" s="139"/>
      <c r="P29" s="3"/>
      <c r="Q29" s="3"/>
      <c r="R29" s="3"/>
      <c r="S29" s="3"/>
      <c r="T29" s="3"/>
      <c r="U29" s="3"/>
      <c r="V29" s="3"/>
      <c r="W29" s="3"/>
      <c r="X29" s="3"/>
      <c r="Y29" s="3"/>
      <c r="Z29" s="3"/>
      <c r="AA29" s="3"/>
      <c r="AB29" s="3"/>
      <c r="AC29" s="3"/>
    </row>
    <row r="30" spans="2:36" ht="19.95" customHeight="1" x14ac:dyDescent="0.35">
      <c r="B30" s="12" t="s">
        <v>1141</v>
      </c>
      <c r="C30" s="67">
        <v>3.36</v>
      </c>
      <c r="D30" s="74"/>
      <c r="E30" s="137"/>
      <c r="F30" s="138"/>
      <c r="G30" s="138"/>
      <c r="H30" s="138"/>
      <c r="I30" s="138"/>
      <c r="J30" s="138"/>
      <c r="K30" s="138"/>
      <c r="L30" s="138"/>
      <c r="M30" s="138"/>
      <c r="N30" s="138"/>
      <c r="O30" s="139"/>
      <c r="P30" s="3"/>
      <c r="Q30" s="3"/>
      <c r="R30" s="3"/>
      <c r="S30" s="3"/>
      <c r="T30" s="3"/>
      <c r="U30" s="3"/>
      <c r="V30" s="3"/>
      <c r="W30" s="3"/>
      <c r="X30" s="3"/>
      <c r="Y30" s="3"/>
      <c r="Z30" s="3"/>
      <c r="AA30" s="3"/>
      <c r="AB30" s="3"/>
      <c r="AC30" s="3"/>
    </row>
    <row r="31" spans="2:36" ht="19.95" customHeight="1" thickBot="1" x14ac:dyDescent="0.4">
      <c r="B31" s="13" t="s">
        <v>1167</v>
      </c>
      <c r="C31" s="69">
        <v>47</v>
      </c>
      <c r="D31" s="75" t="s">
        <v>1166</v>
      </c>
      <c r="E31" s="140"/>
      <c r="F31" s="141"/>
      <c r="G31" s="141"/>
      <c r="H31" s="141"/>
      <c r="I31" s="141"/>
      <c r="J31" s="141"/>
      <c r="K31" s="141"/>
      <c r="L31" s="141"/>
      <c r="M31" s="141"/>
      <c r="N31" s="141"/>
      <c r="O31" s="142"/>
      <c r="P31" s="3"/>
      <c r="Q31" s="3"/>
      <c r="R31" s="3"/>
      <c r="S31" s="3"/>
      <c r="T31" s="3"/>
      <c r="U31" s="3"/>
      <c r="V31" s="3"/>
      <c r="W31" s="3"/>
      <c r="X31" s="3"/>
      <c r="Y31" s="3"/>
      <c r="Z31" s="3"/>
      <c r="AA31" s="3"/>
      <c r="AB31" s="3"/>
      <c r="AC31" s="3"/>
    </row>
    <row r="32" spans="2:36" hidden="1" x14ac:dyDescent="0.35">
      <c r="P32" s="3"/>
    </row>
    <row r="33" spans="2:32" ht="30" hidden="1" customHeight="1" thickBot="1" x14ac:dyDescent="0.4">
      <c r="B33" s="88" t="s">
        <v>1172</v>
      </c>
      <c r="C33" s="89"/>
      <c r="D33" s="89"/>
      <c r="E33" s="89"/>
      <c r="F33" s="89"/>
      <c r="G33" s="89"/>
      <c r="H33" s="89"/>
      <c r="I33" s="89"/>
      <c r="J33" s="89"/>
      <c r="K33" s="89"/>
      <c r="L33" s="89"/>
      <c r="M33" s="89"/>
      <c r="N33" s="89"/>
      <c r="O33" s="90"/>
      <c r="P33" s="3"/>
      <c r="Q33" s="91" t="s">
        <v>1173</v>
      </c>
      <c r="R33" s="92"/>
      <c r="S33" s="92"/>
      <c r="T33" s="92"/>
      <c r="U33" s="92"/>
      <c r="V33" s="92"/>
      <c r="W33" s="92"/>
      <c r="X33" s="92"/>
      <c r="Y33" s="92"/>
      <c r="Z33" s="92"/>
      <c r="AA33" s="92"/>
      <c r="AB33" s="92"/>
      <c r="AC33" s="92"/>
      <c r="AD33" s="92"/>
      <c r="AE33" s="92"/>
      <c r="AF33" s="92"/>
    </row>
    <row r="34" spans="2:32" ht="79.95" hidden="1" customHeight="1" thickBot="1" x14ac:dyDescent="0.4">
      <c r="B34" s="93" t="s">
        <v>1176</v>
      </c>
      <c r="C34" s="94"/>
      <c r="D34" s="93" t="s">
        <v>1185</v>
      </c>
      <c r="E34" s="95"/>
      <c r="F34" s="95"/>
      <c r="G34" s="95"/>
      <c r="H34" s="95"/>
      <c r="I34" s="95"/>
      <c r="J34" s="95"/>
      <c r="K34" s="95"/>
      <c r="L34" s="95"/>
      <c r="M34" s="95"/>
      <c r="N34" s="95"/>
      <c r="O34" s="94"/>
      <c r="P34" s="3"/>
      <c r="Q34" s="96" t="s">
        <v>1174</v>
      </c>
      <c r="R34" s="97"/>
      <c r="S34" s="97"/>
      <c r="T34" s="97"/>
      <c r="U34" s="97"/>
      <c r="V34" s="97"/>
      <c r="W34" s="97"/>
      <c r="X34" s="97"/>
      <c r="Y34" s="97"/>
      <c r="Z34" s="97"/>
      <c r="AA34" s="97"/>
      <c r="AB34" s="97"/>
      <c r="AC34" s="97"/>
      <c r="AD34" s="97"/>
      <c r="AE34" s="97"/>
      <c r="AF34" s="98"/>
    </row>
    <row r="35" spans="2:32" ht="19.95" hidden="1" customHeight="1" x14ac:dyDescent="0.35">
      <c r="B35" s="99" t="s">
        <v>1175</v>
      </c>
      <c r="C35" s="102" t="s">
        <v>1142</v>
      </c>
      <c r="D35" s="105" t="s">
        <v>1154</v>
      </c>
      <c r="E35" s="106"/>
      <c r="F35" s="106"/>
      <c r="G35" s="106"/>
      <c r="H35" s="106"/>
      <c r="I35" s="107"/>
      <c r="J35" s="108" t="s">
        <v>1155</v>
      </c>
      <c r="K35" s="109"/>
      <c r="L35" s="109"/>
      <c r="M35" s="109"/>
      <c r="N35" s="109"/>
      <c r="O35" s="110"/>
      <c r="P35" s="3"/>
      <c r="Q35" s="111" t="s">
        <v>1143</v>
      </c>
      <c r="R35" s="112"/>
      <c r="S35" s="113"/>
      <c r="T35" s="113"/>
      <c r="U35" s="113"/>
      <c r="V35" s="113"/>
      <c r="W35" s="113"/>
      <c r="X35" s="113"/>
      <c r="Y35" s="113"/>
      <c r="Z35" s="113"/>
      <c r="AA35" s="113"/>
      <c r="AB35" s="113"/>
      <c r="AC35" s="113"/>
      <c r="AD35" s="113"/>
      <c r="AE35" s="113"/>
      <c r="AF35" s="114"/>
    </row>
    <row r="36" spans="2:32" ht="40.049999999999997" hidden="1" customHeight="1" x14ac:dyDescent="0.35">
      <c r="B36" s="100"/>
      <c r="C36" s="103"/>
      <c r="D36" s="131" t="s">
        <v>1163</v>
      </c>
      <c r="E36" s="83"/>
      <c r="F36" s="82" t="s">
        <v>1162</v>
      </c>
      <c r="G36" s="83"/>
      <c r="H36" s="84" t="s">
        <v>53</v>
      </c>
      <c r="I36" s="86" t="s">
        <v>1134</v>
      </c>
      <c r="J36" s="129" t="s">
        <v>1152</v>
      </c>
      <c r="K36" s="21" t="s">
        <v>1163</v>
      </c>
      <c r="L36" s="121" t="s">
        <v>1136</v>
      </c>
      <c r="M36" s="121" t="s">
        <v>1137</v>
      </c>
      <c r="N36" s="84" t="s">
        <v>53</v>
      </c>
      <c r="O36" s="123" t="s">
        <v>1138</v>
      </c>
      <c r="P36" s="3"/>
      <c r="Q36" s="125" t="s">
        <v>1150</v>
      </c>
      <c r="R36" s="126"/>
      <c r="S36" s="127"/>
      <c r="T36" s="116"/>
      <c r="U36" s="115" t="s">
        <v>1153</v>
      </c>
      <c r="V36" s="126"/>
      <c r="W36" s="126"/>
      <c r="X36" s="126"/>
      <c r="Y36" s="115" t="s">
        <v>1158</v>
      </c>
      <c r="Z36" s="126"/>
      <c r="AA36" s="126"/>
      <c r="AB36" s="128"/>
      <c r="AC36" s="115" t="str">
        <f>F36</f>
        <v>COP @ [°F]</v>
      </c>
      <c r="AD36" s="116"/>
      <c r="AE36" s="117" t="s">
        <v>1134</v>
      </c>
      <c r="AF36" s="119" t="s">
        <v>1144</v>
      </c>
    </row>
    <row r="37" spans="2:32" ht="18" hidden="1" customHeight="1" thickBot="1" x14ac:dyDescent="0.4">
      <c r="B37" s="101"/>
      <c r="C37" s="104"/>
      <c r="D37" s="14">
        <v>17</v>
      </c>
      <c r="E37" s="8">
        <v>47</v>
      </c>
      <c r="F37" s="20">
        <f>D37</f>
        <v>17</v>
      </c>
      <c r="G37" s="20">
        <f>E37</f>
        <v>47</v>
      </c>
      <c r="H37" s="85"/>
      <c r="I37" s="87"/>
      <c r="J37" s="130"/>
      <c r="K37" s="22">
        <v>95</v>
      </c>
      <c r="L37" s="122"/>
      <c r="M37" s="122"/>
      <c r="N37" s="85"/>
      <c r="O37" s="124"/>
      <c r="P37" s="3"/>
      <c r="Q37" s="27" t="s">
        <v>1156</v>
      </c>
      <c r="R37" s="28" t="s">
        <v>1157</v>
      </c>
      <c r="S37" s="45">
        <f>D37</f>
        <v>17</v>
      </c>
      <c r="T37" s="45">
        <f>E37</f>
        <v>47</v>
      </c>
      <c r="U37" s="28" t="str">
        <f>L36</f>
        <v>EER</v>
      </c>
      <c r="V37" s="28" t="str">
        <f>M36</f>
        <v>SEER</v>
      </c>
      <c r="W37" s="26" t="s">
        <v>1135</v>
      </c>
      <c r="X37" s="28" t="str">
        <f>O36</f>
        <v>IEER</v>
      </c>
      <c r="Y37" s="28" t="str">
        <f>U37</f>
        <v>EER</v>
      </c>
      <c r="Z37" s="28" t="str">
        <f>V37</f>
        <v>SEER</v>
      </c>
      <c r="AA37" s="28" t="str">
        <f>W37</f>
        <v>Derated SEER</v>
      </c>
      <c r="AB37" s="28" t="str">
        <f>X37</f>
        <v>IEER</v>
      </c>
      <c r="AC37" s="45">
        <f>D37</f>
        <v>17</v>
      </c>
      <c r="AD37" s="45">
        <f>E37</f>
        <v>47</v>
      </c>
      <c r="AE37" s="118"/>
      <c r="AF37" s="120"/>
    </row>
    <row r="38" spans="2:32" ht="69.599999999999994" hidden="1" x14ac:dyDescent="0.35">
      <c r="B38" s="54" t="s">
        <v>1186</v>
      </c>
      <c r="C38" s="55">
        <v>16</v>
      </c>
      <c r="D38" s="59">
        <v>174</v>
      </c>
      <c r="E38" s="60">
        <v>258</v>
      </c>
      <c r="F38" s="56">
        <v>2.09</v>
      </c>
      <c r="G38" s="56">
        <v>3.36</v>
      </c>
      <c r="H38" s="25" t="s">
        <v>1146</v>
      </c>
      <c r="I38" s="49"/>
      <c r="J38" s="16" t="s">
        <v>1153</v>
      </c>
      <c r="K38" s="60">
        <v>228</v>
      </c>
      <c r="L38" s="56"/>
      <c r="M38" s="56"/>
      <c r="N38" s="25" t="s">
        <v>1146</v>
      </c>
      <c r="O38" s="49">
        <v>18.8</v>
      </c>
      <c r="P38" s="3"/>
      <c r="Q38" s="29">
        <f t="shared" ref="Q38:Q63" si="0">IF(J38="Recirculation Air",IFERROR($C38*K38/C$23,"-"),0)</f>
        <v>6</v>
      </c>
      <c r="R38" s="30">
        <f t="shared" ref="R38:R63" si="1">IF(J38="Ventilation Air",IFERROR($C38*K38/C$17,"-"),0)</f>
        <v>0</v>
      </c>
      <c r="S38" s="30">
        <f t="shared" ref="S38:S63" si="2">IFERROR($C38*D38/SUMPRODUCT($C$38:$C$63,$D$38:$D$63),"-")</f>
        <v>1</v>
      </c>
      <c r="T38" s="30">
        <f t="shared" ref="T38:T63" si="3">IFERROR($C38*E38/SUMPRODUCT($C$38:$C$63,$E$38:$E$63),"-")</f>
        <v>1</v>
      </c>
      <c r="U38" s="30" t="str">
        <f>IF(X38&gt;0,"-",IFERROR(L38*Q38,"-"))</f>
        <v>-</v>
      </c>
      <c r="V38" s="30" t="str">
        <f>IF(X38&gt;0,"-",IFERROR(M38*Q38,"-"))</f>
        <v>-</v>
      </c>
      <c r="W38" s="31">
        <f>IFERROR(IF(M38&lt;13.5,(1-(-0.5655+0.005414*'phius_monthly climate data'!$H$2+0.01039*M38))*M38,(1-(-0.5864+0.005668*'phius_monthly climate data'!$H$2+0.01029*M38))*M38),"-")*Q38</f>
        <v>0</v>
      </c>
      <c r="X38" s="30">
        <f>IFERROR(O38*Q38,"-")</f>
        <v>112.80000000000001</v>
      </c>
      <c r="Y38" s="30">
        <f>IF(AB38&gt;0,"-",IFERROR(L38*R38,"-"))</f>
        <v>0</v>
      </c>
      <c r="Z38" s="30">
        <f>IF(AB38&gt;0,"-",IFERROR(M38*R38,"-"))</f>
        <v>0</v>
      </c>
      <c r="AA38" s="31">
        <f>IFERROR(IF(M38&lt;13.5,(1-(-0.5655+0.005414*'phius_monthly climate data'!$H$2+0.01039*M38))*M38,(1-(-0.5864+0.005668*'phius_monthly climate data'!$H$2+0.01029*M38))*M38),"-")*R38</f>
        <v>0</v>
      </c>
      <c r="AB38" s="30">
        <f>IFERROR(O38*R38,"-")</f>
        <v>0</v>
      </c>
      <c r="AC38" s="30">
        <f t="shared" ref="AC38:AD63" si="4">IFERROR(F38*S38,"-")</f>
        <v>2.09</v>
      </c>
      <c r="AD38" s="30">
        <f t="shared" si="4"/>
        <v>3.36</v>
      </c>
      <c r="AE38" s="30">
        <f t="shared" ref="AE38:AE63" si="5">IFERROR(I38*T38,"-")</f>
        <v>0</v>
      </c>
      <c r="AF38" s="32">
        <f>IFERROR(IF(I38&lt;8.5,(1-(0.1392+-0.00846*'phius_monthly climate data'!$I$2+-0.0001074*'phius_monthly climate data'!$I$2+0.0228*I38))*I38,(1-(0.1041+-0.008862*'phius_monthly climate data'!$I$2+-0.0001153*'phius_monthly climate data'!$I$2+0.02817*I38))*I38),"-")*T38</f>
        <v>0</v>
      </c>
    </row>
    <row r="39" spans="2:32" ht="34.799999999999997" hidden="1" x14ac:dyDescent="0.35">
      <c r="B39" s="15"/>
      <c r="C39" s="50"/>
      <c r="D39" s="61"/>
      <c r="E39" s="62"/>
      <c r="F39" s="52"/>
      <c r="G39" s="53"/>
      <c r="H39" s="23" t="s">
        <v>1146</v>
      </c>
      <c r="I39" s="47"/>
      <c r="J39" s="18" t="s">
        <v>1184</v>
      </c>
      <c r="K39" s="62"/>
      <c r="L39" s="52"/>
      <c r="M39" s="53"/>
      <c r="N39" s="23" t="s">
        <v>1146</v>
      </c>
      <c r="O39" s="47"/>
      <c r="P39" s="3"/>
      <c r="Q39" s="29">
        <f t="shared" si="0"/>
        <v>0</v>
      </c>
      <c r="R39" s="30">
        <f t="shared" si="1"/>
        <v>0</v>
      </c>
      <c r="S39" s="30">
        <f t="shared" si="2"/>
        <v>0</v>
      </c>
      <c r="T39" s="30">
        <f t="shared" si="3"/>
        <v>0</v>
      </c>
      <c r="U39" s="30">
        <f t="shared" ref="U39:U63" si="6">IF(X39&gt;0,"-",IFERROR(L39*Q39,"-"))</f>
        <v>0</v>
      </c>
      <c r="V39" s="30">
        <f t="shared" ref="V39:V63" si="7">IF(X39&gt;0,"-",IFERROR(M39*Q39,"-"))</f>
        <v>0</v>
      </c>
      <c r="W39" s="31">
        <f>IFERROR(IF(M39&lt;13.5,(1-(-0.5655+0.005414*'phius_monthly climate data'!$H$2+0.01039*M39))*M39,(1-(-0.5864+0.005668*'phius_monthly climate data'!$H$2+0.01029*M39))*M39),"-")*Q39</f>
        <v>0</v>
      </c>
      <c r="X39" s="30">
        <f t="shared" ref="X39:X63" si="8">IFERROR(O39*Q39,"-")</f>
        <v>0</v>
      </c>
      <c r="Y39" s="30">
        <f t="shared" ref="Y39:Y63" si="9">IF(AB39&gt;0,"-",IFERROR(L39*R39,"-"))</f>
        <v>0</v>
      </c>
      <c r="Z39" s="30">
        <f t="shared" ref="Z39:Z63" si="10">IF(AB39&gt;0,"-",IFERROR(M39*R39,"-"))</f>
        <v>0</v>
      </c>
      <c r="AA39" s="31">
        <f>IFERROR(IF(M39&lt;13.5,(1-(-0.5655+0.005414*'phius_monthly climate data'!$H$2+0.01039*M39))*M39,(1-(-0.5864+0.005668*'phius_monthly climate data'!$H$2+0.01029*M39))*M39),"-")*R39</f>
        <v>0</v>
      </c>
      <c r="AB39" s="30">
        <f t="shared" ref="AB39:AB63" si="11">IFERROR(O39*R39,"-")</f>
        <v>0</v>
      </c>
      <c r="AC39" s="30">
        <f t="shared" si="4"/>
        <v>0</v>
      </c>
      <c r="AD39" s="30">
        <f t="shared" si="4"/>
        <v>0</v>
      </c>
      <c r="AE39" s="30">
        <f t="shared" si="5"/>
        <v>0</v>
      </c>
      <c r="AF39" s="32">
        <f>IFERROR(IF(I39&lt;8.5,(1-(0.1392+-0.00846*'phius_monthly climate data'!$I$2+-0.0001074*'phius_monthly climate data'!$I$2+0.0228*I39))*I39,(1-(0.1041+-0.008862*'phius_monthly climate data'!$I$2+-0.0001153*'phius_monthly climate data'!$I$2+0.02817*I39))*I39),"-")*T39</f>
        <v>0</v>
      </c>
    </row>
    <row r="40" spans="2:32" ht="34.799999999999997" hidden="1" x14ac:dyDescent="0.35">
      <c r="B40" s="15"/>
      <c r="C40" s="50"/>
      <c r="D40" s="61"/>
      <c r="E40" s="62"/>
      <c r="F40" s="52"/>
      <c r="G40" s="53"/>
      <c r="H40" s="23" t="s">
        <v>1146</v>
      </c>
      <c r="I40" s="47"/>
      <c r="J40" s="18" t="s">
        <v>1184</v>
      </c>
      <c r="K40" s="62"/>
      <c r="L40" s="52"/>
      <c r="M40" s="53"/>
      <c r="N40" s="23" t="s">
        <v>1146</v>
      </c>
      <c r="O40" s="47"/>
      <c r="P40" s="3"/>
      <c r="Q40" s="29">
        <f t="shared" si="0"/>
        <v>0</v>
      </c>
      <c r="R40" s="30">
        <f t="shared" si="1"/>
        <v>0</v>
      </c>
      <c r="S40" s="30">
        <f t="shared" si="2"/>
        <v>0</v>
      </c>
      <c r="T40" s="30">
        <f t="shared" si="3"/>
        <v>0</v>
      </c>
      <c r="U40" s="30">
        <f t="shared" si="6"/>
        <v>0</v>
      </c>
      <c r="V40" s="30">
        <f t="shared" si="7"/>
        <v>0</v>
      </c>
      <c r="W40" s="31">
        <f>IFERROR(IF(M40&lt;13.5,(1-(-0.5655+0.005414*'phius_monthly climate data'!$H$2+0.01039*M40))*M40,(1-(-0.5864+0.005668*'phius_monthly climate data'!$H$2+0.01029*M40))*M40),"-")*Q40</f>
        <v>0</v>
      </c>
      <c r="X40" s="30">
        <f t="shared" si="8"/>
        <v>0</v>
      </c>
      <c r="Y40" s="30">
        <f t="shared" si="9"/>
        <v>0</v>
      </c>
      <c r="Z40" s="30">
        <f t="shared" si="10"/>
        <v>0</v>
      </c>
      <c r="AA40" s="31">
        <f>IFERROR(IF(M40&lt;13.5,(1-(-0.5655+0.005414*'phius_monthly climate data'!$H$2+0.01039*M40))*M40,(1-(-0.5864+0.005668*'phius_monthly climate data'!$H$2+0.01029*M40))*M40),"-")*R40</f>
        <v>0</v>
      </c>
      <c r="AB40" s="30">
        <f t="shared" si="11"/>
        <v>0</v>
      </c>
      <c r="AC40" s="30">
        <f t="shared" si="4"/>
        <v>0</v>
      </c>
      <c r="AD40" s="30">
        <f t="shared" si="4"/>
        <v>0</v>
      </c>
      <c r="AE40" s="30">
        <f t="shared" si="5"/>
        <v>0</v>
      </c>
      <c r="AF40" s="32">
        <f>IFERROR(IF(I40&lt;8.5,(1-(0.1392+-0.00846*'phius_monthly climate data'!$I$2+-0.0001074*'phius_monthly climate data'!$I$2+0.0228*I40))*I40,(1-(0.1041+-0.008862*'phius_monthly climate data'!$I$2+-0.0001153*'phius_monthly climate data'!$I$2+0.02817*I40))*I40),"-")*T40</f>
        <v>0</v>
      </c>
    </row>
    <row r="41" spans="2:32" ht="34.799999999999997" hidden="1" x14ac:dyDescent="0.35">
      <c r="B41" s="17"/>
      <c r="C41" s="50"/>
      <c r="D41" s="61"/>
      <c r="E41" s="62"/>
      <c r="F41" s="52"/>
      <c r="G41" s="53"/>
      <c r="H41" s="23" t="s">
        <v>1146</v>
      </c>
      <c r="I41" s="47"/>
      <c r="J41" s="18" t="s">
        <v>1184</v>
      </c>
      <c r="K41" s="62"/>
      <c r="L41" s="52"/>
      <c r="M41" s="53"/>
      <c r="N41" s="23" t="s">
        <v>1146</v>
      </c>
      <c r="O41" s="47"/>
      <c r="P41" s="3"/>
      <c r="Q41" s="29">
        <f t="shared" si="0"/>
        <v>0</v>
      </c>
      <c r="R41" s="30">
        <f t="shared" si="1"/>
        <v>0</v>
      </c>
      <c r="S41" s="30">
        <f t="shared" si="2"/>
        <v>0</v>
      </c>
      <c r="T41" s="30">
        <f t="shared" si="3"/>
        <v>0</v>
      </c>
      <c r="U41" s="30">
        <f t="shared" si="6"/>
        <v>0</v>
      </c>
      <c r="V41" s="30">
        <f t="shared" si="7"/>
        <v>0</v>
      </c>
      <c r="W41" s="31">
        <f>IFERROR(IF(M41&lt;13.5,(1-(-0.5655+0.005414*'phius_monthly climate data'!$H$2+0.01039*M41))*M41,(1-(-0.5864+0.005668*'phius_monthly climate data'!$H$2+0.01029*M41))*M41),"-")*Q41</f>
        <v>0</v>
      </c>
      <c r="X41" s="30">
        <f t="shared" si="8"/>
        <v>0</v>
      </c>
      <c r="Y41" s="30">
        <f t="shared" si="9"/>
        <v>0</v>
      </c>
      <c r="Z41" s="30">
        <f t="shared" si="10"/>
        <v>0</v>
      </c>
      <c r="AA41" s="31">
        <f>IFERROR(IF(M41&lt;13.5,(1-(-0.5655+0.005414*'phius_monthly climate data'!$H$2+0.01039*M41))*M41,(1-(-0.5864+0.005668*'phius_monthly climate data'!$H$2+0.01029*M41))*M41),"-")*R41</f>
        <v>0</v>
      </c>
      <c r="AB41" s="30">
        <f t="shared" si="11"/>
        <v>0</v>
      </c>
      <c r="AC41" s="30">
        <f t="shared" si="4"/>
        <v>0</v>
      </c>
      <c r="AD41" s="30">
        <f t="shared" si="4"/>
        <v>0</v>
      </c>
      <c r="AE41" s="30">
        <f t="shared" si="5"/>
        <v>0</v>
      </c>
      <c r="AF41" s="32">
        <f>IFERROR(IF(I41&lt;8.5,(1-(0.1392+-0.00846*'phius_monthly climate data'!$I$2+-0.0001074*'phius_monthly climate data'!$I$2+0.0228*I41))*I41,(1-(0.1041+-0.008862*'phius_monthly climate data'!$I$2+-0.0001153*'phius_monthly climate data'!$I$2+0.02817*I41))*I41),"-")*T41</f>
        <v>0</v>
      </c>
    </row>
    <row r="42" spans="2:32" ht="34.799999999999997" hidden="1" x14ac:dyDescent="0.35">
      <c r="B42" s="17"/>
      <c r="C42" s="50"/>
      <c r="D42" s="61"/>
      <c r="E42" s="62"/>
      <c r="F42" s="52"/>
      <c r="G42" s="53"/>
      <c r="H42" s="23" t="s">
        <v>1146</v>
      </c>
      <c r="I42" s="47"/>
      <c r="J42" s="18" t="s">
        <v>1184</v>
      </c>
      <c r="K42" s="62"/>
      <c r="L42" s="52"/>
      <c r="M42" s="53"/>
      <c r="N42" s="23" t="s">
        <v>1146</v>
      </c>
      <c r="O42" s="47"/>
      <c r="P42" s="3"/>
      <c r="Q42" s="29">
        <f t="shared" si="0"/>
        <v>0</v>
      </c>
      <c r="R42" s="30">
        <f t="shared" si="1"/>
        <v>0</v>
      </c>
      <c r="S42" s="30">
        <f t="shared" si="2"/>
        <v>0</v>
      </c>
      <c r="T42" s="30">
        <f t="shared" si="3"/>
        <v>0</v>
      </c>
      <c r="U42" s="30">
        <f t="shared" si="6"/>
        <v>0</v>
      </c>
      <c r="V42" s="30">
        <f t="shared" si="7"/>
        <v>0</v>
      </c>
      <c r="W42" s="31">
        <f>IFERROR(IF(M42&lt;13.5,(1-(-0.5655+0.005414*'phius_monthly climate data'!$H$2+0.01039*M42))*M42,(1-(-0.5864+0.005668*'phius_monthly climate data'!$H$2+0.01029*M42))*M42),"-")*Q42</f>
        <v>0</v>
      </c>
      <c r="X42" s="30">
        <f t="shared" si="8"/>
        <v>0</v>
      </c>
      <c r="Y42" s="30">
        <f t="shared" si="9"/>
        <v>0</v>
      </c>
      <c r="Z42" s="30">
        <f t="shared" si="10"/>
        <v>0</v>
      </c>
      <c r="AA42" s="31">
        <f>IFERROR(IF(M42&lt;13.5,(1-(-0.5655+0.005414*'phius_monthly climate data'!$H$2+0.01039*M42))*M42,(1-(-0.5864+0.005668*'phius_monthly climate data'!$H$2+0.01029*M42))*M42),"-")*R42</f>
        <v>0</v>
      </c>
      <c r="AB42" s="30">
        <f t="shared" si="11"/>
        <v>0</v>
      </c>
      <c r="AC42" s="30">
        <f t="shared" si="4"/>
        <v>0</v>
      </c>
      <c r="AD42" s="30">
        <f t="shared" si="4"/>
        <v>0</v>
      </c>
      <c r="AE42" s="30">
        <f t="shared" si="5"/>
        <v>0</v>
      </c>
      <c r="AF42" s="32">
        <f>IFERROR(IF(I42&lt;8.5,(1-(0.1392+-0.00846*'phius_monthly climate data'!$I$2+-0.0001074*'phius_monthly climate data'!$I$2+0.0228*I42))*I42,(1-(0.1041+-0.008862*'phius_monthly climate data'!$I$2+-0.0001153*'phius_monthly climate data'!$I$2+0.02817*I42))*I42),"-")*T42</f>
        <v>0</v>
      </c>
    </row>
    <row r="43" spans="2:32" ht="34.799999999999997" hidden="1" x14ac:dyDescent="0.35">
      <c r="B43" s="17"/>
      <c r="C43" s="50"/>
      <c r="D43" s="61"/>
      <c r="E43" s="62"/>
      <c r="F43" s="52"/>
      <c r="G43" s="53"/>
      <c r="H43" s="23" t="s">
        <v>1146</v>
      </c>
      <c r="I43" s="47"/>
      <c r="J43" s="18" t="s">
        <v>1184</v>
      </c>
      <c r="K43" s="62"/>
      <c r="L43" s="52"/>
      <c r="M43" s="53"/>
      <c r="N43" s="23" t="s">
        <v>1146</v>
      </c>
      <c r="O43" s="47"/>
      <c r="P43" s="3"/>
      <c r="Q43" s="29">
        <f t="shared" si="0"/>
        <v>0</v>
      </c>
      <c r="R43" s="30">
        <f t="shared" si="1"/>
        <v>0</v>
      </c>
      <c r="S43" s="30">
        <f t="shared" si="2"/>
        <v>0</v>
      </c>
      <c r="T43" s="30">
        <f t="shared" si="3"/>
        <v>0</v>
      </c>
      <c r="U43" s="30">
        <f t="shared" si="6"/>
        <v>0</v>
      </c>
      <c r="V43" s="30">
        <f t="shared" si="7"/>
        <v>0</v>
      </c>
      <c r="W43" s="31">
        <f>IFERROR(IF(M43&lt;13.5,(1-(-0.5655+0.005414*'phius_monthly climate data'!$H$2+0.01039*M43))*M43,(1-(-0.5864+0.005668*'phius_monthly climate data'!$H$2+0.01029*M43))*M43),"-")*Q43</f>
        <v>0</v>
      </c>
      <c r="X43" s="30">
        <f t="shared" si="8"/>
        <v>0</v>
      </c>
      <c r="Y43" s="30">
        <f t="shared" si="9"/>
        <v>0</v>
      </c>
      <c r="Z43" s="30">
        <f t="shared" si="10"/>
        <v>0</v>
      </c>
      <c r="AA43" s="31">
        <f>IFERROR(IF(M43&lt;13.5,(1-(-0.5655+0.005414*'phius_monthly climate data'!$H$2+0.01039*M43))*M43,(1-(-0.5864+0.005668*'phius_monthly climate data'!$H$2+0.01029*M43))*M43),"-")*R43</f>
        <v>0</v>
      </c>
      <c r="AB43" s="30">
        <f t="shared" si="11"/>
        <v>0</v>
      </c>
      <c r="AC43" s="30">
        <f t="shared" si="4"/>
        <v>0</v>
      </c>
      <c r="AD43" s="30">
        <f t="shared" si="4"/>
        <v>0</v>
      </c>
      <c r="AE43" s="30">
        <f t="shared" si="5"/>
        <v>0</v>
      </c>
      <c r="AF43" s="32">
        <f>IFERROR(IF(I43&lt;8.5,(1-(0.1392+-0.00846*'phius_monthly climate data'!$I$2+-0.0001074*'phius_monthly climate data'!$I$2+0.0228*I43))*I43,(1-(0.1041+-0.008862*'phius_monthly climate data'!$I$2+-0.0001153*'phius_monthly climate data'!$I$2+0.02817*I43))*I43),"-")*T43</f>
        <v>0</v>
      </c>
    </row>
    <row r="44" spans="2:32" ht="34.799999999999997" hidden="1" x14ac:dyDescent="0.35">
      <c r="B44" s="17"/>
      <c r="C44" s="50"/>
      <c r="D44" s="61"/>
      <c r="E44" s="62"/>
      <c r="F44" s="52"/>
      <c r="G44" s="53"/>
      <c r="H44" s="23" t="s">
        <v>1146</v>
      </c>
      <c r="I44" s="47"/>
      <c r="J44" s="18" t="s">
        <v>1184</v>
      </c>
      <c r="K44" s="62"/>
      <c r="L44" s="52"/>
      <c r="M44" s="53"/>
      <c r="N44" s="23" t="s">
        <v>1146</v>
      </c>
      <c r="O44" s="47"/>
      <c r="P44" s="3"/>
      <c r="Q44" s="29">
        <f t="shared" si="0"/>
        <v>0</v>
      </c>
      <c r="R44" s="30">
        <f t="shared" si="1"/>
        <v>0</v>
      </c>
      <c r="S44" s="30">
        <f t="shared" si="2"/>
        <v>0</v>
      </c>
      <c r="T44" s="30">
        <f t="shared" si="3"/>
        <v>0</v>
      </c>
      <c r="U44" s="30">
        <f t="shared" si="6"/>
        <v>0</v>
      </c>
      <c r="V44" s="30">
        <f t="shared" si="7"/>
        <v>0</v>
      </c>
      <c r="W44" s="31">
        <f>IFERROR(IF(M44&lt;13.5,(1-(-0.5655+0.005414*'phius_monthly climate data'!$H$2+0.01039*M44))*M44,(1-(-0.5864+0.005668*'phius_monthly climate data'!$H$2+0.01029*M44))*M44),"-")*Q44</f>
        <v>0</v>
      </c>
      <c r="X44" s="30">
        <f t="shared" si="8"/>
        <v>0</v>
      </c>
      <c r="Y44" s="30">
        <f t="shared" si="9"/>
        <v>0</v>
      </c>
      <c r="Z44" s="30">
        <f t="shared" si="10"/>
        <v>0</v>
      </c>
      <c r="AA44" s="31">
        <f>IFERROR(IF(M44&lt;13.5,(1-(-0.5655+0.005414*'phius_monthly climate data'!$H$2+0.01039*M44))*M44,(1-(-0.5864+0.005668*'phius_monthly climate data'!$H$2+0.01029*M44))*M44),"-")*R44</f>
        <v>0</v>
      </c>
      <c r="AB44" s="30">
        <f t="shared" si="11"/>
        <v>0</v>
      </c>
      <c r="AC44" s="30">
        <f t="shared" si="4"/>
        <v>0</v>
      </c>
      <c r="AD44" s="30">
        <f t="shared" si="4"/>
        <v>0</v>
      </c>
      <c r="AE44" s="30">
        <f t="shared" si="5"/>
        <v>0</v>
      </c>
      <c r="AF44" s="32">
        <f>IFERROR(IF(I44&lt;8.5,(1-(0.1392+-0.00846*'phius_monthly climate data'!$I$2+-0.0001074*'phius_monthly climate data'!$I$2+0.0228*I44))*I44,(1-(0.1041+-0.008862*'phius_monthly climate data'!$I$2+-0.0001153*'phius_monthly climate data'!$I$2+0.02817*I44))*I44),"-")*T44</f>
        <v>0</v>
      </c>
    </row>
    <row r="45" spans="2:32" ht="34.799999999999997" hidden="1" x14ac:dyDescent="0.35">
      <c r="B45" s="17"/>
      <c r="C45" s="50"/>
      <c r="D45" s="61"/>
      <c r="E45" s="62"/>
      <c r="F45" s="52"/>
      <c r="G45" s="53"/>
      <c r="H45" s="23" t="s">
        <v>1146</v>
      </c>
      <c r="I45" s="47"/>
      <c r="J45" s="18" t="s">
        <v>1184</v>
      </c>
      <c r="K45" s="62"/>
      <c r="L45" s="52"/>
      <c r="M45" s="53"/>
      <c r="N45" s="23" t="s">
        <v>1146</v>
      </c>
      <c r="O45" s="47"/>
      <c r="P45" s="3"/>
      <c r="Q45" s="29">
        <f t="shared" si="0"/>
        <v>0</v>
      </c>
      <c r="R45" s="30">
        <f t="shared" si="1"/>
        <v>0</v>
      </c>
      <c r="S45" s="30">
        <f t="shared" si="2"/>
        <v>0</v>
      </c>
      <c r="T45" s="30">
        <f t="shared" si="3"/>
        <v>0</v>
      </c>
      <c r="U45" s="30">
        <f t="shared" si="6"/>
        <v>0</v>
      </c>
      <c r="V45" s="30">
        <f t="shared" si="7"/>
        <v>0</v>
      </c>
      <c r="W45" s="31">
        <f>IFERROR(IF(M45&lt;13.5,(1-(-0.5655+0.005414*'phius_monthly climate data'!$H$2+0.01039*M45))*M45,(1-(-0.5864+0.005668*'phius_monthly climate data'!$H$2+0.01029*M45))*M45),"-")*Q45</f>
        <v>0</v>
      </c>
      <c r="X45" s="30">
        <f t="shared" si="8"/>
        <v>0</v>
      </c>
      <c r="Y45" s="30">
        <f t="shared" si="9"/>
        <v>0</v>
      </c>
      <c r="Z45" s="30">
        <f t="shared" si="10"/>
        <v>0</v>
      </c>
      <c r="AA45" s="31">
        <f>IFERROR(IF(M45&lt;13.5,(1-(-0.5655+0.005414*'phius_monthly climate data'!$H$2+0.01039*M45))*M45,(1-(-0.5864+0.005668*'phius_monthly climate data'!$H$2+0.01029*M45))*M45),"-")*R45</f>
        <v>0</v>
      </c>
      <c r="AB45" s="30">
        <f t="shared" si="11"/>
        <v>0</v>
      </c>
      <c r="AC45" s="30">
        <f t="shared" si="4"/>
        <v>0</v>
      </c>
      <c r="AD45" s="30">
        <f t="shared" si="4"/>
        <v>0</v>
      </c>
      <c r="AE45" s="30">
        <f t="shared" si="5"/>
        <v>0</v>
      </c>
      <c r="AF45" s="32">
        <f>IFERROR(IF(I45&lt;8.5,(1-(0.1392+-0.00846*'phius_monthly climate data'!$I$2+-0.0001074*'phius_monthly climate data'!$I$2+0.0228*I45))*I45,(1-(0.1041+-0.008862*'phius_monthly climate data'!$I$2+-0.0001153*'phius_monthly climate data'!$I$2+0.02817*I45))*I45),"-")*T45</f>
        <v>0</v>
      </c>
    </row>
    <row r="46" spans="2:32" ht="34.799999999999997" hidden="1" x14ac:dyDescent="0.35">
      <c r="B46" s="17"/>
      <c r="C46" s="50"/>
      <c r="D46" s="61"/>
      <c r="E46" s="62"/>
      <c r="F46" s="52"/>
      <c r="G46" s="53"/>
      <c r="H46" s="23" t="s">
        <v>1146</v>
      </c>
      <c r="I46" s="47"/>
      <c r="J46" s="18" t="s">
        <v>1184</v>
      </c>
      <c r="K46" s="62"/>
      <c r="L46" s="52"/>
      <c r="M46" s="53"/>
      <c r="N46" s="23" t="s">
        <v>1146</v>
      </c>
      <c r="O46" s="47"/>
      <c r="P46" s="3"/>
      <c r="Q46" s="29">
        <f t="shared" si="0"/>
        <v>0</v>
      </c>
      <c r="R46" s="30">
        <f t="shared" si="1"/>
        <v>0</v>
      </c>
      <c r="S46" s="30">
        <f t="shared" si="2"/>
        <v>0</v>
      </c>
      <c r="T46" s="30">
        <f t="shared" si="3"/>
        <v>0</v>
      </c>
      <c r="U46" s="30">
        <f t="shared" si="6"/>
        <v>0</v>
      </c>
      <c r="V46" s="30">
        <f t="shared" si="7"/>
        <v>0</v>
      </c>
      <c r="W46" s="31">
        <f>IFERROR(IF(M46&lt;13.5,(1-(-0.5655+0.005414*'phius_monthly climate data'!$H$2+0.01039*M46))*M46,(1-(-0.5864+0.005668*'phius_monthly climate data'!$H$2+0.01029*M46))*M46),"-")*Q46</f>
        <v>0</v>
      </c>
      <c r="X46" s="30">
        <f t="shared" si="8"/>
        <v>0</v>
      </c>
      <c r="Y46" s="30">
        <f t="shared" si="9"/>
        <v>0</v>
      </c>
      <c r="Z46" s="30">
        <f t="shared" si="10"/>
        <v>0</v>
      </c>
      <c r="AA46" s="31">
        <f>IFERROR(IF(M46&lt;13.5,(1-(-0.5655+0.005414*'phius_monthly climate data'!$H$2+0.01039*M46))*M46,(1-(-0.5864+0.005668*'phius_monthly climate data'!$H$2+0.01029*M46))*M46),"-")*R46</f>
        <v>0</v>
      </c>
      <c r="AB46" s="30">
        <f t="shared" si="11"/>
        <v>0</v>
      </c>
      <c r="AC46" s="30">
        <f t="shared" si="4"/>
        <v>0</v>
      </c>
      <c r="AD46" s="30">
        <f t="shared" si="4"/>
        <v>0</v>
      </c>
      <c r="AE46" s="30">
        <f t="shared" si="5"/>
        <v>0</v>
      </c>
      <c r="AF46" s="32">
        <f>IFERROR(IF(I46&lt;8.5,(1-(0.1392+-0.00846*'phius_monthly climate data'!$I$2+-0.0001074*'phius_monthly climate data'!$I$2+0.0228*I46))*I46,(1-(0.1041+-0.008862*'phius_monthly climate data'!$I$2+-0.0001153*'phius_monthly climate data'!$I$2+0.02817*I46))*I46),"-")*T46</f>
        <v>0</v>
      </c>
    </row>
    <row r="47" spans="2:32" ht="34.799999999999997" hidden="1" x14ac:dyDescent="0.35">
      <c r="B47" s="17"/>
      <c r="C47" s="50"/>
      <c r="D47" s="61"/>
      <c r="E47" s="62"/>
      <c r="F47" s="52"/>
      <c r="G47" s="53"/>
      <c r="H47" s="23" t="s">
        <v>1146</v>
      </c>
      <c r="I47" s="47"/>
      <c r="J47" s="18" t="s">
        <v>1184</v>
      </c>
      <c r="K47" s="62"/>
      <c r="L47" s="52"/>
      <c r="M47" s="53"/>
      <c r="N47" s="23" t="s">
        <v>1146</v>
      </c>
      <c r="O47" s="47"/>
      <c r="P47" s="3"/>
      <c r="Q47" s="29">
        <f t="shared" si="0"/>
        <v>0</v>
      </c>
      <c r="R47" s="30">
        <f t="shared" si="1"/>
        <v>0</v>
      </c>
      <c r="S47" s="30">
        <f t="shared" si="2"/>
        <v>0</v>
      </c>
      <c r="T47" s="30">
        <f t="shared" si="3"/>
        <v>0</v>
      </c>
      <c r="U47" s="30">
        <f t="shared" si="6"/>
        <v>0</v>
      </c>
      <c r="V47" s="30">
        <f t="shared" si="7"/>
        <v>0</v>
      </c>
      <c r="W47" s="31">
        <f>IFERROR(IF(M47&lt;13.5,(1-(-0.5655+0.005414*'phius_monthly climate data'!$H$2+0.01039*M47))*M47,(1-(-0.5864+0.005668*'phius_monthly climate data'!$H$2+0.01029*M47))*M47),"-")*Q47</f>
        <v>0</v>
      </c>
      <c r="X47" s="30">
        <f t="shared" si="8"/>
        <v>0</v>
      </c>
      <c r="Y47" s="30">
        <f t="shared" si="9"/>
        <v>0</v>
      </c>
      <c r="Z47" s="30">
        <f t="shared" si="10"/>
        <v>0</v>
      </c>
      <c r="AA47" s="31">
        <f>IFERROR(IF(M47&lt;13.5,(1-(-0.5655+0.005414*'phius_monthly climate data'!$H$2+0.01039*M47))*M47,(1-(-0.5864+0.005668*'phius_monthly climate data'!$H$2+0.01029*M47))*M47),"-")*R47</f>
        <v>0</v>
      </c>
      <c r="AB47" s="30">
        <f t="shared" si="11"/>
        <v>0</v>
      </c>
      <c r="AC47" s="30">
        <f t="shared" si="4"/>
        <v>0</v>
      </c>
      <c r="AD47" s="30">
        <f t="shared" si="4"/>
        <v>0</v>
      </c>
      <c r="AE47" s="30">
        <f t="shared" si="5"/>
        <v>0</v>
      </c>
      <c r="AF47" s="32">
        <f>IFERROR(IF(I47&lt;8.5,(1-(0.1392+-0.00846*'phius_monthly climate data'!$I$2+-0.0001074*'phius_monthly climate data'!$I$2+0.0228*I47))*I47,(1-(0.1041+-0.008862*'phius_monthly climate data'!$I$2+-0.0001153*'phius_monthly climate data'!$I$2+0.02817*I47))*I47),"-")*T47</f>
        <v>0</v>
      </c>
    </row>
    <row r="48" spans="2:32" ht="34.799999999999997" hidden="1" x14ac:dyDescent="0.35">
      <c r="B48" s="17"/>
      <c r="C48" s="50"/>
      <c r="D48" s="61"/>
      <c r="E48" s="62"/>
      <c r="F48" s="52"/>
      <c r="G48" s="53"/>
      <c r="H48" s="23" t="s">
        <v>1146</v>
      </c>
      <c r="I48" s="47"/>
      <c r="J48" s="18" t="s">
        <v>1184</v>
      </c>
      <c r="K48" s="62"/>
      <c r="L48" s="52"/>
      <c r="M48" s="53"/>
      <c r="N48" s="23" t="s">
        <v>1146</v>
      </c>
      <c r="O48" s="47"/>
      <c r="P48" s="3"/>
      <c r="Q48" s="29">
        <f t="shared" si="0"/>
        <v>0</v>
      </c>
      <c r="R48" s="30">
        <f t="shared" si="1"/>
        <v>0</v>
      </c>
      <c r="S48" s="30">
        <f t="shared" si="2"/>
        <v>0</v>
      </c>
      <c r="T48" s="30">
        <f t="shared" si="3"/>
        <v>0</v>
      </c>
      <c r="U48" s="30">
        <f t="shared" si="6"/>
        <v>0</v>
      </c>
      <c r="V48" s="30">
        <f t="shared" si="7"/>
        <v>0</v>
      </c>
      <c r="W48" s="31">
        <f>IFERROR(IF(M48&lt;13.5,(1-(-0.5655+0.005414*'phius_monthly climate data'!$H$2+0.01039*M48))*M48,(1-(-0.5864+0.005668*'phius_monthly climate data'!$H$2+0.01029*M48))*M48),"-")*Q48</f>
        <v>0</v>
      </c>
      <c r="X48" s="30">
        <f t="shared" si="8"/>
        <v>0</v>
      </c>
      <c r="Y48" s="30">
        <f t="shared" si="9"/>
        <v>0</v>
      </c>
      <c r="Z48" s="30">
        <f t="shared" si="10"/>
        <v>0</v>
      </c>
      <c r="AA48" s="31">
        <f>IFERROR(IF(M48&lt;13.5,(1-(-0.5655+0.005414*'phius_monthly climate data'!$H$2+0.01039*M48))*M48,(1-(-0.5864+0.005668*'phius_monthly climate data'!$H$2+0.01029*M48))*M48),"-")*R48</f>
        <v>0</v>
      </c>
      <c r="AB48" s="30">
        <f t="shared" si="11"/>
        <v>0</v>
      </c>
      <c r="AC48" s="30">
        <f t="shared" si="4"/>
        <v>0</v>
      </c>
      <c r="AD48" s="30">
        <f t="shared" si="4"/>
        <v>0</v>
      </c>
      <c r="AE48" s="30">
        <f t="shared" si="5"/>
        <v>0</v>
      </c>
      <c r="AF48" s="32">
        <f>IFERROR(IF(I48&lt;8.5,(1-(0.1392+-0.00846*'phius_monthly climate data'!$I$2+-0.0001074*'phius_monthly climate data'!$I$2+0.0228*I48))*I48,(1-(0.1041+-0.008862*'phius_monthly climate data'!$I$2+-0.0001153*'phius_monthly climate data'!$I$2+0.02817*I48))*I48),"-")*T48</f>
        <v>0</v>
      </c>
    </row>
    <row r="49" spans="2:32" ht="34.799999999999997" hidden="1" x14ac:dyDescent="0.35">
      <c r="B49" s="17"/>
      <c r="C49" s="50"/>
      <c r="D49" s="61"/>
      <c r="E49" s="62"/>
      <c r="F49" s="52"/>
      <c r="G49" s="53"/>
      <c r="H49" s="23" t="s">
        <v>1146</v>
      </c>
      <c r="I49" s="47"/>
      <c r="J49" s="18" t="s">
        <v>1184</v>
      </c>
      <c r="K49" s="62"/>
      <c r="L49" s="52"/>
      <c r="M49" s="53"/>
      <c r="N49" s="23" t="s">
        <v>1146</v>
      </c>
      <c r="O49" s="47"/>
      <c r="P49" s="3"/>
      <c r="Q49" s="29">
        <f t="shared" si="0"/>
        <v>0</v>
      </c>
      <c r="R49" s="30">
        <f t="shared" si="1"/>
        <v>0</v>
      </c>
      <c r="S49" s="30">
        <f t="shared" si="2"/>
        <v>0</v>
      </c>
      <c r="T49" s="30">
        <f t="shared" si="3"/>
        <v>0</v>
      </c>
      <c r="U49" s="30">
        <f t="shared" si="6"/>
        <v>0</v>
      </c>
      <c r="V49" s="30">
        <f t="shared" si="7"/>
        <v>0</v>
      </c>
      <c r="W49" s="31">
        <f>IFERROR(IF(M49&lt;13.5,(1-(-0.5655+0.005414*'phius_monthly climate data'!$H$2+0.01039*M49))*M49,(1-(-0.5864+0.005668*'phius_monthly climate data'!$H$2+0.01029*M49))*M49),"-")*Q49</f>
        <v>0</v>
      </c>
      <c r="X49" s="30">
        <f t="shared" si="8"/>
        <v>0</v>
      </c>
      <c r="Y49" s="30">
        <f t="shared" si="9"/>
        <v>0</v>
      </c>
      <c r="Z49" s="30">
        <f t="shared" si="10"/>
        <v>0</v>
      </c>
      <c r="AA49" s="31">
        <f>IFERROR(IF(M49&lt;13.5,(1-(-0.5655+0.005414*'phius_monthly climate data'!$H$2+0.01039*M49))*M49,(1-(-0.5864+0.005668*'phius_monthly climate data'!$H$2+0.01029*M49))*M49),"-")*R49</f>
        <v>0</v>
      </c>
      <c r="AB49" s="30">
        <f t="shared" si="11"/>
        <v>0</v>
      </c>
      <c r="AC49" s="30">
        <f t="shared" si="4"/>
        <v>0</v>
      </c>
      <c r="AD49" s="30">
        <f t="shared" si="4"/>
        <v>0</v>
      </c>
      <c r="AE49" s="30">
        <f t="shared" si="5"/>
        <v>0</v>
      </c>
      <c r="AF49" s="32">
        <f>IFERROR(IF(I49&lt;8.5,(1-(0.1392+-0.00846*'phius_monthly climate data'!$I$2+-0.0001074*'phius_monthly climate data'!$I$2+0.0228*I49))*I49,(1-(0.1041+-0.008862*'phius_monthly climate data'!$I$2+-0.0001153*'phius_monthly climate data'!$I$2+0.02817*I49))*I49),"-")*T49</f>
        <v>0</v>
      </c>
    </row>
    <row r="50" spans="2:32" ht="34.799999999999997" hidden="1" x14ac:dyDescent="0.35">
      <c r="B50" s="17"/>
      <c r="C50" s="50"/>
      <c r="D50" s="61"/>
      <c r="E50" s="62"/>
      <c r="F50" s="52"/>
      <c r="G50" s="53"/>
      <c r="H50" s="23" t="s">
        <v>1146</v>
      </c>
      <c r="I50" s="47"/>
      <c r="J50" s="18" t="s">
        <v>1184</v>
      </c>
      <c r="K50" s="62"/>
      <c r="L50" s="52"/>
      <c r="M50" s="53"/>
      <c r="N50" s="23" t="s">
        <v>1146</v>
      </c>
      <c r="O50" s="47"/>
      <c r="P50" s="3"/>
      <c r="Q50" s="29">
        <f t="shared" si="0"/>
        <v>0</v>
      </c>
      <c r="R50" s="30">
        <f t="shared" si="1"/>
        <v>0</v>
      </c>
      <c r="S50" s="30">
        <f t="shared" si="2"/>
        <v>0</v>
      </c>
      <c r="T50" s="30">
        <f t="shared" si="3"/>
        <v>0</v>
      </c>
      <c r="U50" s="30">
        <f t="shared" si="6"/>
        <v>0</v>
      </c>
      <c r="V50" s="30">
        <f t="shared" si="7"/>
        <v>0</v>
      </c>
      <c r="W50" s="31">
        <f>IFERROR(IF(M50&lt;13.5,(1-(-0.5655+0.005414*'phius_monthly climate data'!$H$2+0.01039*M50))*M50,(1-(-0.5864+0.005668*'phius_monthly climate data'!$H$2+0.01029*M50))*M50),"-")*Q50</f>
        <v>0</v>
      </c>
      <c r="X50" s="30">
        <f t="shared" si="8"/>
        <v>0</v>
      </c>
      <c r="Y50" s="30">
        <f t="shared" si="9"/>
        <v>0</v>
      </c>
      <c r="Z50" s="30">
        <f t="shared" si="10"/>
        <v>0</v>
      </c>
      <c r="AA50" s="31">
        <f>IFERROR(IF(M50&lt;13.5,(1-(-0.5655+0.005414*'phius_monthly climate data'!$H$2+0.01039*M50))*M50,(1-(-0.5864+0.005668*'phius_monthly climate data'!$H$2+0.01029*M50))*M50),"-")*R50</f>
        <v>0</v>
      </c>
      <c r="AB50" s="30">
        <f t="shared" si="11"/>
        <v>0</v>
      </c>
      <c r="AC50" s="30">
        <f t="shared" si="4"/>
        <v>0</v>
      </c>
      <c r="AD50" s="30">
        <f t="shared" si="4"/>
        <v>0</v>
      </c>
      <c r="AE50" s="30">
        <f t="shared" si="5"/>
        <v>0</v>
      </c>
      <c r="AF50" s="32">
        <f>IFERROR(IF(I50&lt;8.5,(1-(0.1392+-0.00846*'phius_monthly climate data'!$I$2+-0.0001074*'phius_monthly climate data'!$I$2+0.0228*I50))*I50,(1-(0.1041+-0.008862*'phius_monthly climate data'!$I$2+-0.0001153*'phius_monthly climate data'!$I$2+0.02817*I50))*I50),"-")*T50</f>
        <v>0</v>
      </c>
    </row>
    <row r="51" spans="2:32" ht="34.799999999999997" hidden="1" x14ac:dyDescent="0.35">
      <c r="B51" s="17"/>
      <c r="C51" s="50"/>
      <c r="D51" s="61"/>
      <c r="E51" s="62"/>
      <c r="F51" s="52"/>
      <c r="G51" s="53"/>
      <c r="H51" s="23" t="s">
        <v>1146</v>
      </c>
      <c r="I51" s="47"/>
      <c r="J51" s="18" t="s">
        <v>1184</v>
      </c>
      <c r="K51" s="62"/>
      <c r="L51" s="52"/>
      <c r="M51" s="53"/>
      <c r="N51" s="23" t="s">
        <v>1146</v>
      </c>
      <c r="O51" s="47"/>
      <c r="P51" s="3"/>
      <c r="Q51" s="29">
        <f t="shared" si="0"/>
        <v>0</v>
      </c>
      <c r="R51" s="30">
        <f t="shared" si="1"/>
        <v>0</v>
      </c>
      <c r="S51" s="30">
        <f t="shared" si="2"/>
        <v>0</v>
      </c>
      <c r="T51" s="30">
        <f t="shared" si="3"/>
        <v>0</v>
      </c>
      <c r="U51" s="30">
        <f t="shared" si="6"/>
        <v>0</v>
      </c>
      <c r="V51" s="30">
        <f t="shared" si="7"/>
        <v>0</v>
      </c>
      <c r="W51" s="31">
        <f>IFERROR(IF(M51&lt;13.5,(1-(-0.5655+0.005414*'phius_monthly climate data'!$H$2+0.01039*M51))*M51,(1-(-0.5864+0.005668*'phius_monthly climate data'!$H$2+0.01029*M51))*M51),"-")*Q51</f>
        <v>0</v>
      </c>
      <c r="X51" s="30">
        <f t="shared" si="8"/>
        <v>0</v>
      </c>
      <c r="Y51" s="30">
        <f t="shared" si="9"/>
        <v>0</v>
      </c>
      <c r="Z51" s="30">
        <f t="shared" si="10"/>
        <v>0</v>
      </c>
      <c r="AA51" s="31">
        <f>IFERROR(IF(M51&lt;13.5,(1-(-0.5655+0.005414*'phius_monthly climate data'!$H$2+0.01039*M51))*M51,(1-(-0.5864+0.005668*'phius_monthly climate data'!$H$2+0.01029*M51))*M51),"-")*R51</f>
        <v>0</v>
      </c>
      <c r="AB51" s="30">
        <f t="shared" si="11"/>
        <v>0</v>
      </c>
      <c r="AC51" s="30">
        <f t="shared" si="4"/>
        <v>0</v>
      </c>
      <c r="AD51" s="30">
        <f t="shared" si="4"/>
        <v>0</v>
      </c>
      <c r="AE51" s="30">
        <f t="shared" si="5"/>
        <v>0</v>
      </c>
      <c r="AF51" s="32">
        <f>IFERROR(IF(I51&lt;8.5,(1-(0.1392+-0.00846*'phius_monthly climate data'!$I$2+-0.0001074*'phius_monthly climate data'!$I$2+0.0228*I51))*I51,(1-(0.1041+-0.008862*'phius_monthly climate data'!$I$2+-0.0001153*'phius_monthly climate data'!$I$2+0.02817*I51))*I51),"-")*T51</f>
        <v>0</v>
      </c>
    </row>
    <row r="52" spans="2:32" ht="34.799999999999997" hidden="1" x14ac:dyDescent="0.35">
      <c r="B52" s="17"/>
      <c r="C52" s="50"/>
      <c r="D52" s="61"/>
      <c r="E52" s="62"/>
      <c r="F52" s="52"/>
      <c r="G52" s="53"/>
      <c r="H52" s="23" t="s">
        <v>1146</v>
      </c>
      <c r="I52" s="47"/>
      <c r="J52" s="18" t="s">
        <v>1184</v>
      </c>
      <c r="K52" s="62"/>
      <c r="L52" s="52"/>
      <c r="M52" s="53"/>
      <c r="N52" s="23" t="s">
        <v>1146</v>
      </c>
      <c r="O52" s="47"/>
      <c r="P52" s="3"/>
      <c r="Q52" s="29">
        <f t="shared" si="0"/>
        <v>0</v>
      </c>
      <c r="R52" s="30">
        <f t="shared" si="1"/>
        <v>0</v>
      </c>
      <c r="S52" s="30">
        <f t="shared" si="2"/>
        <v>0</v>
      </c>
      <c r="T52" s="30">
        <f t="shared" si="3"/>
        <v>0</v>
      </c>
      <c r="U52" s="30">
        <f t="shared" si="6"/>
        <v>0</v>
      </c>
      <c r="V52" s="30">
        <f t="shared" si="7"/>
        <v>0</v>
      </c>
      <c r="W52" s="31">
        <f>IFERROR(IF(M52&lt;13.5,(1-(-0.5655+0.005414*'phius_monthly climate data'!$H$2+0.01039*M52))*M52,(1-(-0.5864+0.005668*'phius_monthly climate data'!$H$2+0.01029*M52))*M52),"-")*Q52</f>
        <v>0</v>
      </c>
      <c r="X52" s="30">
        <f t="shared" si="8"/>
        <v>0</v>
      </c>
      <c r="Y52" s="30">
        <f t="shared" si="9"/>
        <v>0</v>
      </c>
      <c r="Z52" s="30">
        <f t="shared" si="10"/>
        <v>0</v>
      </c>
      <c r="AA52" s="31">
        <f>IFERROR(IF(M52&lt;13.5,(1-(-0.5655+0.005414*'phius_monthly climate data'!$H$2+0.01039*M52))*M52,(1-(-0.5864+0.005668*'phius_monthly climate data'!$H$2+0.01029*M52))*M52),"-")*R52</f>
        <v>0</v>
      </c>
      <c r="AB52" s="30">
        <f t="shared" si="11"/>
        <v>0</v>
      </c>
      <c r="AC52" s="30">
        <f t="shared" si="4"/>
        <v>0</v>
      </c>
      <c r="AD52" s="30">
        <f t="shared" si="4"/>
        <v>0</v>
      </c>
      <c r="AE52" s="30">
        <f t="shared" si="5"/>
        <v>0</v>
      </c>
      <c r="AF52" s="32">
        <f>IFERROR(IF(I52&lt;8.5,(1-(0.1392+-0.00846*'phius_monthly climate data'!$I$2+-0.0001074*'phius_monthly climate data'!$I$2+0.0228*I52))*I52,(1-(0.1041+-0.008862*'phius_monthly climate data'!$I$2+-0.0001153*'phius_monthly climate data'!$I$2+0.02817*I52))*I52),"-")*T52</f>
        <v>0</v>
      </c>
    </row>
    <row r="53" spans="2:32" ht="34.799999999999997" hidden="1" x14ac:dyDescent="0.35">
      <c r="B53" s="17"/>
      <c r="C53" s="50"/>
      <c r="D53" s="61"/>
      <c r="E53" s="62"/>
      <c r="F53" s="52"/>
      <c r="G53" s="53"/>
      <c r="H53" s="23" t="s">
        <v>1146</v>
      </c>
      <c r="I53" s="47"/>
      <c r="J53" s="18" t="s">
        <v>1184</v>
      </c>
      <c r="K53" s="62"/>
      <c r="L53" s="52"/>
      <c r="M53" s="53"/>
      <c r="N53" s="23" t="s">
        <v>1146</v>
      </c>
      <c r="O53" s="47"/>
      <c r="P53" s="3"/>
      <c r="Q53" s="29">
        <f t="shared" si="0"/>
        <v>0</v>
      </c>
      <c r="R53" s="30">
        <f t="shared" si="1"/>
        <v>0</v>
      </c>
      <c r="S53" s="30">
        <f t="shared" si="2"/>
        <v>0</v>
      </c>
      <c r="T53" s="30">
        <f t="shared" si="3"/>
        <v>0</v>
      </c>
      <c r="U53" s="30">
        <f t="shared" si="6"/>
        <v>0</v>
      </c>
      <c r="V53" s="30">
        <f t="shared" si="7"/>
        <v>0</v>
      </c>
      <c r="W53" s="31">
        <f>IFERROR(IF(M53&lt;13.5,(1-(-0.5655+0.005414*'phius_monthly climate data'!$H$2+0.01039*M53))*M53,(1-(-0.5864+0.005668*'phius_monthly climate data'!$H$2+0.01029*M53))*M53),"-")*Q53</f>
        <v>0</v>
      </c>
      <c r="X53" s="30">
        <f t="shared" si="8"/>
        <v>0</v>
      </c>
      <c r="Y53" s="30">
        <f t="shared" si="9"/>
        <v>0</v>
      </c>
      <c r="Z53" s="30">
        <f t="shared" si="10"/>
        <v>0</v>
      </c>
      <c r="AA53" s="31">
        <f>IFERROR(IF(M53&lt;13.5,(1-(-0.5655+0.005414*'phius_monthly climate data'!$H$2+0.01039*M53))*M53,(1-(-0.5864+0.005668*'phius_monthly climate data'!$H$2+0.01029*M53))*M53),"-")*R53</f>
        <v>0</v>
      </c>
      <c r="AB53" s="30">
        <f t="shared" si="11"/>
        <v>0</v>
      </c>
      <c r="AC53" s="30">
        <f t="shared" si="4"/>
        <v>0</v>
      </c>
      <c r="AD53" s="30">
        <f t="shared" si="4"/>
        <v>0</v>
      </c>
      <c r="AE53" s="30">
        <f t="shared" si="5"/>
        <v>0</v>
      </c>
      <c r="AF53" s="32">
        <f>IFERROR(IF(I53&lt;8.5,(1-(0.1392+-0.00846*'phius_monthly climate data'!$I$2+-0.0001074*'phius_monthly climate data'!$I$2+0.0228*I53))*I53,(1-(0.1041+-0.008862*'phius_monthly climate data'!$I$2+-0.0001153*'phius_monthly climate data'!$I$2+0.02817*I53))*I53),"-")*T53</f>
        <v>0</v>
      </c>
    </row>
    <row r="54" spans="2:32" ht="34.799999999999997" hidden="1" x14ac:dyDescent="0.35">
      <c r="B54" s="17"/>
      <c r="C54" s="50"/>
      <c r="D54" s="61"/>
      <c r="E54" s="62"/>
      <c r="F54" s="52"/>
      <c r="G54" s="53"/>
      <c r="H54" s="23" t="s">
        <v>1146</v>
      </c>
      <c r="I54" s="47"/>
      <c r="J54" s="18" t="s">
        <v>1184</v>
      </c>
      <c r="K54" s="62"/>
      <c r="L54" s="52"/>
      <c r="M54" s="53"/>
      <c r="N54" s="23" t="s">
        <v>1146</v>
      </c>
      <c r="O54" s="47"/>
      <c r="P54" s="3"/>
      <c r="Q54" s="29">
        <f t="shared" si="0"/>
        <v>0</v>
      </c>
      <c r="R54" s="30">
        <f t="shared" si="1"/>
        <v>0</v>
      </c>
      <c r="S54" s="30">
        <f t="shared" si="2"/>
        <v>0</v>
      </c>
      <c r="T54" s="30">
        <f t="shared" si="3"/>
        <v>0</v>
      </c>
      <c r="U54" s="30">
        <f t="shared" si="6"/>
        <v>0</v>
      </c>
      <c r="V54" s="30">
        <f t="shared" si="7"/>
        <v>0</v>
      </c>
      <c r="W54" s="31">
        <f>IFERROR(IF(M54&lt;13.5,(1-(-0.5655+0.005414*'phius_monthly climate data'!$H$2+0.01039*M54))*M54,(1-(-0.5864+0.005668*'phius_monthly climate data'!$H$2+0.01029*M54))*M54),"-")*Q54</f>
        <v>0</v>
      </c>
      <c r="X54" s="30">
        <f t="shared" si="8"/>
        <v>0</v>
      </c>
      <c r="Y54" s="30">
        <f t="shared" si="9"/>
        <v>0</v>
      </c>
      <c r="Z54" s="30">
        <f t="shared" si="10"/>
        <v>0</v>
      </c>
      <c r="AA54" s="31">
        <f>IFERROR(IF(M54&lt;13.5,(1-(-0.5655+0.005414*'phius_monthly climate data'!$H$2+0.01039*M54))*M54,(1-(-0.5864+0.005668*'phius_monthly climate data'!$H$2+0.01029*M54))*M54),"-")*R54</f>
        <v>0</v>
      </c>
      <c r="AB54" s="30">
        <f t="shared" si="11"/>
        <v>0</v>
      </c>
      <c r="AC54" s="30">
        <f t="shared" si="4"/>
        <v>0</v>
      </c>
      <c r="AD54" s="30">
        <f t="shared" si="4"/>
        <v>0</v>
      </c>
      <c r="AE54" s="30">
        <f t="shared" si="5"/>
        <v>0</v>
      </c>
      <c r="AF54" s="32">
        <f>IFERROR(IF(I54&lt;8.5,(1-(0.1392+-0.00846*'phius_monthly climate data'!$I$2+-0.0001074*'phius_monthly climate data'!$I$2+0.0228*I54))*I54,(1-(0.1041+-0.008862*'phius_monthly climate data'!$I$2+-0.0001153*'phius_monthly climate data'!$I$2+0.02817*I54))*I54),"-")*T54</f>
        <v>0</v>
      </c>
    </row>
    <row r="55" spans="2:32" ht="34.799999999999997" hidden="1" x14ac:dyDescent="0.35">
      <c r="B55" s="17"/>
      <c r="C55" s="50"/>
      <c r="D55" s="61"/>
      <c r="E55" s="62"/>
      <c r="F55" s="52"/>
      <c r="G55" s="53"/>
      <c r="H55" s="23" t="s">
        <v>1146</v>
      </c>
      <c r="I55" s="47"/>
      <c r="J55" s="18" t="s">
        <v>1184</v>
      </c>
      <c r="K55" s="62"/>
      <c r="L55" s="52"/>
      <c r="M55" s="53"/>
      <c r="N55" s="23" t="s">
        <v>1146</v>
      </c>
      <c r="O55" s="47"/>
      <c r="P55" s="3"/>
      <c r="Q55" s="29">
        <f t="shared" si="0"/>
        <v>0</v>
      </c>
      <c r="R55" s="30">
        <f t="shared" si="1"/>
        <v>0</v>
      </c>
      <c r="S55" s="30">
        <f t="shared" si="2"/>
        <v>0</v>
      </c>
      <c r="T55" s="30">
        <f t="shared" si="3"/>
        <v>0</v>
      </c>
      <c r="U55" s="30">
        <f t="shared" si="6"/>
        <v>0</v>
      </c>
      <c r="V55" s="30">
        <f t="shared" si="7"/>
        <v>0</v>
      </c>
      <c r="W55" s="31">
        <f>IFERROR(IF(M55&lt;13.5,(1-(-0.5655+0.005414*'phius_monthly climate data'!$H$2+0.01039*M55))*M55,(1-(-0.5864+0.005668*'phius_monthly climate data'!$H$2+0.01029*M55))*M55),"-")*Q55</f>
        <v>0</v>
      </c>
      <c r="X55" s="30">
        <f t="shared" si="8"/>
        <v>0</v>
      </c>
      <c r="Y55" s="30">
        <f t="shared" si="9"/>
        <v>0</v>
      </c>
      <c r="Z55" s="30">
        <f t="shared" si="10"/>
        <v>0</v>
      </c>
      <c r="AA55" s="31">
        <f>IFERROR(IF(M55&lt;13.5,(1-(-0.5655+0.005414*'phius_monthly climate data'!$H$2+0.01039*M55))*M55,(1-(-0.5864+0.005668*'phius_monthly climate data'!$H$2+0.01029*M55))*M55),"-")*R55</f>
        <v>0</v>
      </c>
      <c r="AB55" s="30">
        <f t="shared" si="11"/>
        <v>0</v>
      </c>
      <c r="AC55" s="30">
        <f t="shared" si="4"/>
        <v>0</v>
      </c>
      <c r="AD55" s="30">
        <f t="shared" si="4"/>
        <v>0</v>
      </c>
      <c r="AE55" s="30">
        <f t="shared" si="5"/>
        <v>0</v>
      </c>
      <c r="AF55" s="32">
        <f>IFERROR(IF(I55&lt;8.5,(1-(0.1392+-0.00846*'phius_monthly climate data'!$I$2+-0.0001074*'phius_monthly climate data'!$I$2+0.0228*I55))*I55,(1-(0.1041+-0.008862*'phius_monthly climate data'!$I$2+-0.0001153*'phius_monthly climate data'!$I$2+0.02817*I55))*I55),"-")*T55</f>
        <v>0</v>
      </c>
    </row>
    <row r="56" spans="2:32" ht="34.799999999999997" hidden="1" x14ac:dyDescent="0.35">
      <c r="B56" s="17"/>
      <c r="C56" s="50"/>
      <c r="D56" s="61"/>
      <c r="E56" s="62"/>
      <c r="F56" s="52"/>
      <c r="G56" s="53"/>
      <c r="H56" s="23" t="s">
        <v>1146</v>
      </c>
      <c r="I56" s="47"/>
      <c r="J56" s="18" t="s">
        <v>1184</v>
      </c>
      <c r="K56" s="62"/>
      <c r="L56" s="52"/>
      <c r="M56" s="53"/>
      <c r="N56" s="23" t="s">
        <v>1146</v>
      </c>
      <c r="O56" s="47"/>
      <c r="P56" s="3"/>
      <c r="Q56" s="29">
        <f t="shared" si="0"/>
        <v>0</v>
      </c>
      <c r="R56" s="30">
        <f t="shared" si="1"/>
        <v>0</v>
      </c>
      <c r="S56" s="30">
        <f t="shared" si="2"/>
        <v>0</v>
      </c>
      <c r="T56" s="30">
        <f t="shared" si="3"/>
        <v>0</v>
      </c>
      <c r="U56" s="30">
        <f t="shared" si="6"/>
        <v>0</v>
      </c>
      <c r="V56" s="30">
        <f t="shared" si="7"/>
        <v>0</v>
      </c>
      <c r="W56" s="31">
        <f>IFERROR(IF(M56&lt;13.5,(1-(-0.5655+0.005414*'phius_monthly climate data'!$H$2+0.01039*M56))*M56,(1-(-0.5864+0.005668*'phius_monthly climate data'!$H$2+0.01029*M56))*M56),"-")*Q56</f>
        <v>0</v>
      </c>
      <c r="X56" s="30">
        <f t="shared" si="8"/>
        <v>0</v>
      </c>
      <c r="Y56" s="30">
        <f t="shared" si="9"/>
        <v>0</v>
      </c>
      <c r="Z56" s="30">
        <f t="shared" si="10"/>
        <v>0</v>
      </c>
      <c r="AA56" s="31">
        <f>IFERROR(IF(M56&lt;13.5,(1-(-0.5655+0.005414*'phius_monthly climate data'!$H$2+0.01039*M56))*M56,(1-(-0.5864+0.005668*'phius_monthly climate data'!$H$2+0.01029*M56))*M56),"-")*R56</f>
        <v>0</v>
      </c>
      <c r="AB56" s="30">
        <f t="shared" si="11"/>
        <v>0</v>
      </c>
      <c r="AC56" s="30">
        <f t="shared" si="4"/>
        <v>0</v>
      </c>
      <c r="AD56" s="30">
        <f t="shared" si="4"/>
        <v>0</v>
      </c>
      <c r="AE56" s="30">
        <f t="shared" si="5"/>
        <v>0</v>
      </c>
      <c r="AF56" s="32">
        <f>IFERROR(IF(I56&lt;8.5,(1-(0.1392+-0.00846*'phius_monthly climate data'!$I$2+-0.0001074*'phius_monthly climate data'!$I$2+0.0228*I56))*I56,(1-(0.1041+-0.008862*'phius_monthly climate data'!$I$2+-0.0001153*'phius_monthly climate data'!$I$2+0.02817*I56))*I56),"-")*T56</f>
        <v>0</v>
      </c>
    </row>
    <row r="57" spans="2:32" ht="34.799999999999997" hidden="1" x14ac:dyDescent="0.35">
      <c r="B57" s="17"/>
      <c r="C57" s="50"/>
      <c r="D57" s="61"/>
      <c r="E57" s="62"/>
      <c r="F57" s="52"/>
      <c r="G57" s="53"/>
      <c r="H57" s="23" t="s">
        <v>1146</v>
      </c>
      <c r="I57" s="47"/>
      <c r="J57" s="18" t="s">
        <v>1184</v>
      </c>
      <c r="K57" s="62"/>
      <c r="L57" s="52"/>
      <c r="M57" s="53"/>
      <c r="N57" s="23" t="s">
        <v>1146</v>
      </c>
      <c r="O57" s="47"/>
      <c r="P57" s="3"/>
      <c r="Q57" s="29">
        <f t="shared" si="0"/>
        <v>0</v>
      </c>
      <c r="R57" s="30">
        <f t="shared" si="1"/>
        <v>0</v>
      </c>
      <c r="S57" s="30">
        <f t="shared" si="2"/>
        <v>0</v>
      </c>
      <c r="T57" s="30">
        <f t="shared" si="3"/>
        <v>0</v>
      </c>
      <c r="U57" s="30">
        <f t="shared" si="6"/>
        <v>0</v>
      </c>
      <c r="V57" s="30">
        <f t="shared" si="7"/>
        <v>0</v>
      </c>
      <c r="W57" s="31">
        <f>IFERROR(IF(M57&lt;13.5,(1-(-0.5655+0.005414*'phius_monthly climate data'!$H$2+0.01039*M57))*M57,(1-(-0.5864+0.005668*'phius_monthly climate data'!$H$2+0.01029*M57))*M57),"-")*Q57</f>
        <v>0</v>
      </c>
      <c r="X57" s="30">
        <f t="shared" si="8"/>
        <v>0</v>
      </c>
      <c r="Y57" s="30">
        <f t="shared" si="9"/>
        <v>0</v>
      </c>
      <c r="Z57" s="30">
        <f t="shared" si="10"/>
        <v>0</v>
      </c>
      <c r="AA57" s="31">
        <f>IFERROR(IF(M57&lt;13.5,(1-(-0.5655+0.005414*'phius_monthly climate data'!$H$2+0.01039*M57))*M57,(1-(-0.5864+0.005668*'phius_monthly climate data'!$H$2+0.01029*M57))*M57),"-")*R57</f>
        <v>0</v>
      </c>
      <c r="AB57" s="30">
        <f t="shared" si="11"/>
        <v>0</v>
      </c>
      <c r="AC57" s="30">
        <f t="shared" si="4"/>
        <v>0</v>
      </c>
      <c r="AD57" s="30">
        <f t="shared" si="4"/>
        <v>0</v>
      </c>
      <c r="AE57" s="30">
        <f t="shared" si="5"/>
        <v>0</v>
      </c>
      <c r="AF57" s="32">
        <f>IFERROR(IF(I57&lt;8.5,(1-(0.1392+-0.00846*'phius_monthly climate data'!$I$2+-0.0001074*'phius_monthly climate data'!$I$2+0.0228*I57))*I57,(1-(0.1041+-0.008862*'phius_monthly climate data'!$I$2+-0.0001153*'phius_monthly climate data'!$I$2+0.02817*I57))*I57),"-")*T57</f>
        <v>0</v>
      </c>
    </row>
    <row r="58" spans="2:32" ht="34.799999999999997" hidden="1" x14ac:dyDescent="0.35">
      <c r="B58" s="17"/>
      <c r="C58" s="50"/>
      <c r="D58" s="61"/>
      <c r="E58" s="62"/>
      <c r="F58" s="52"/>
      <c r="G58" s="53"/>
      <c r="H58" s="23" t="s">
        <v>1146</v>
      </c>
      <c r="I58" s="47"/>
      <c r="J58" s="18" t="s">
        <v>1184</v>
      </c>
      <c r="K58" s="62"/>
      <c r="L58" s="52"/>
      <c r="M58" s="53"/>
      <c r="N58" s="23" t="s">
        <v>1146</v>
      </c>
      <c r="O58" s="47"/>
      <c r="P58" s="3"/>
      <c r="Q58" s="29">
        <f t="shared" si="0"/>
        <v>0</v>
      </c>
      <c r="R58" s="30">
        <f t="shared" si="1"/>
        <v>0</v>
      </c>
      <c r="S58" s="30">
        <f t="shared" si="2"/>
        <v>0</v>
      </c>
      <c r="T58" s="30">
        <f t="shared" si="3"/>
        <v>0</v>
      </c>
      <c r="U58" s="30">
        <f t="shared" si="6"/>
        <v>0</v>
      </c>
      <c r="V58" s="30">
        <f t="shared" si="7"/>
        <v>0</v>
      </c>
      <c r="W58" s="31">
        <f>IFERROR(IF(M58&lt;13.5,(1-(-0.5655+0.005414*'phius_monthly climate data'!$H$2+0.01039*M58))*M58,(1-(-0.5864+0.005668*'phius_monthly climate data'!$H$2+0.01029*M58))*M58),"-")*Q58</f>
        <v>0</v>
      </c>
      <c r="X58" s="30">
        <f t="shared" si="8"/>
        <v>0</v>
      </c>
      <c r="Y58" s="30">
        <f t="shared" si="9"/>
        <v>0</v>
      </c>
      <c r="Z58" s="30">
        <f t="shared" si="10"/>
        <v>0</v>
      </c>
      <c r="AA58" s="31">
        <f>IFERROR(IF(M58&lt;13.5,(1-(-0.5655+0.005414*'phius_monthly climate data'!$H$2+0.01039*M58))*M58,(1-(-0.5864+0.005668*'phius_monthly climate data'!$H$2+0.01029*M58))*M58),"-")*R58</f>
        <v>0</v>
      </c>
      <c r="AB58" s="30">
        <f t="shared" si="11"/>
        <v>0</v>
      </c>
      <c r="AC58" s="30">
        <f t="shared" si="4"/>
        <v>0</v>
      </c>
      <c r="AD58" s="30">
        <f t="shared" si="4"/>
        <v>0</v>
      </c>
      <c r="AE58" s="30">
        <f t="shared" si="5"/>
        <v>0</v>
      </c>
      <c r="AF58" s="32">
        <f>IFERROR(IF(I58&lt;8.5,(1-(0.1392+-0.00846*'phius_monthly climate data'!$I$2+-0.0001074*'phius_monthly climate data'!$I$2+0.0228*I58))*I58,(1-(0.1041+-0.008862*'phius_monthly climate data'!$I$2+-0.0001153*'phius_monthly climate data'!$I$2+0.02817*I58))*I58),"-")*T58</f>
        <v>0</v>
      </c>
    </row>
    <row r="59" spans="2:32" ht="34.799999999999997" hidden="1" x14ac:dyDescent="0.35">
      <c r="B59" s="17"/>
      <c r="C59" s="50"/>
      <c r="D59" s="61"/>
      <c r="E59" s="62"/>
      <c r="F59" s="52"/>
      <c r="G59" s="53"/>
      <c r="H59" s="23" t="s">
        <v>1146</v>
      </c>
      <c r="I59" s="47"/>
      <c r="J59" s="18" t="s">
        <v>1184</v>
      </c>
      <c r="K59" s="62"/>
      <c r="L59" s="52"/>
      <c r="M59" s="53"/>
      <c r="N59" s="23" t="s">
        <v>1146</v>
      </c>
      <c r="O59" s="47"/>
      <c r="P59" s="3"/>
      <c r="Q59" s="29">
        <f t="shared" si="0"/>
        <v>0</v>
      </c>
      <c r="R59" s="30">
        <f t="shared" si="1"/>
        <v>0</v>
      </c>
      <c r="S59" s="30">
        <f t="shared" si="2"/>
        <v>0</v>
      </c>
      <c r="T59" s="30">
        <f t="shared" si="3"/>
        <v>0</v>
      </c>
      <c r="U59" s="30">
        <f t="shared" si="6"/>
        <v>0</v>
      </c>
      <c r="V59" s="30">
        <f t="shared" si="7"/>
        <v>0</v>
      </c>
      <c r="W59" s="31">
        <f>IFERROR(IF(M59&lt;13.5,(1-(-0.5655+0.005414*'phius_monthly climate data'!$H$2+0.01039*M59))*M59,(1-(-0.5864+0.005668*'phius_monthly climate data'!$H$2+0.01029*M59))*M59),"-")*Q59</f>
        <v>0</v>
      </c>
      <c r="X59" s="30">
        <f t="shared" si="8"/>
        <v>0</v>
      </c>
      <c r="Y59" s="30">
        <f t="shared" si="9"/>
        <v>0</v>
      </c>
      <c r="Z59" s="30">
        <f t="shared" si="10"/>
        <v>0</v>
      </c>
      <c r="AA59" s="31">
        <f>IFERROR(IF(M59&lt;13.5,(1-(-0.5655+0.005414*'phius_monthly climate data'!$H$2+0.01039*M59))*M59,(1-(-0.5864+0.005668*'phius_monthly climate data'!$H$2+0.01029*M59))*M59),"-")*R59</f>
        <v>0</v>
      </c>
      <c r="AB59" s="30">
        <f t="shared" si="11"/>
        <v>0</v>
      </c>
      <c r="AC59" s="30">
        <f t="shared" si="4"/>
        <v>0</v>
      </c>
      <c r="AD59" s="30">
        <f t="shared" si="4"/>
        <v>0</v>
      </c>
      <c r="AE59" s="30">
        <f t="shared" si="5"/>
        <v>0</v>
      </c>
      <c r="AF59" s="32">
        <f>IFERROR(IF(I59&lt;8.5,(1-(0.1392+-0.00846*'phius_monthly climate data'!$I$2+-0.0001074*'phius_monthly climate data'!$I$2+0.0228*I59))*I59,(1-(0.1041+-0.008862*'phius_monthly climate data'!$I$2+-0.0001153*'phius_monthly climate data'!$I$2+0.02817*I59))*I59),"-")*T59</f>
        <v>0</v>
      </c>
    </row>
    <row r="60" spans="2:32" ht="34.799999999999997" hidden="1" x14ac:dyDescent="0.35">
      <c r="B60" s="17"/>
      <c r="C60" s="50"/>
      <c r="D60" s="61"/>
      <c r="E60" s="62"/>
      <c r="F60" s="52"/>
      <c r="G60" s="53"/>
      <c r="H60" s="23" t="s">
        <v>1146</v>
      </c>
      <c r="I60" s="47"/>
      <c r="J60" s="18" t="s">
        <v>1184</v>
      </c>
      <c r="K60" s="62"/>
      <c r="L60" s="52"/>
      <c r="M60" s="53"/>
      <c r="N60" s="23" t="s">
        <v>1146</v>
      </c>
      <c r="O60" s="47"/>
      <c r="P60" s="3"/>
      <c r="Q60" s="29">
        <f t="shared" si="0"/>
        <v>0</v>
      </c>
      <c r="R60" s="30">
        <f t="shared" si="1"/>
        <v>0</v>
      </c>
      <c r="S60" s="30">
        <f t="shared" si="2"/>
        <v>0</v>
      </c>
      <c r="T60" s="30">
        <f t="shared" si="3"/>
        <v>0</v>
      </c>
      <c r="U60" s="30">
        <f t="shared" si="6"/>
        <v>0</v>
      </c>
      <c r="V60" s="30">
        <f t="shared" si="7"/>
        <v>0</v>
      </c>
      <c r="W60" s="31">
        <f>IFERROR(IF(M60&lt;13.5,(1-(-0.5655+0.005414*'phius_monthly climate data'!$H$2+0.01039*M60))*M60,(1-(-0.5864+0.005668*'phius_monthly climate data'!$H$2+0.01029*M60))*M60),"-")*Q60</f>
        <v>0</v>
      </c>
      <c r="X60" s="30">
        <f t="shared" si="8"/>
        <v>0</v>
      </c>
      <c r="Y60" s="30">
        <f t="shared" si="9"/>
        <v>0</v>
      </c>
      <c r="Z60" s="30">
        <f t="shared" si="10"/>
        <v>0</v>
      </c>
      <c r="AA60" s="31">
        <f>IFERROR(IF(M60&lt;13.5,(1-(-0.5655+0.005414*'phius_monthly climate data'!$H$2+0.01039*M60))*M60,(1-(-0.5864+0.005668*'phius_monthly climate data'!$H$2+0.01029*M60))*M60),"-")*R60</f>
        <v>0</v>
      </c>
      <c r="AB60" s="30">
        <f t="shared" si="11"/>
        <v>0</v>
      </c>
      <c r="AC60" s="30">
        <f t="shared" si="4"/>
        <v>0</v>
      </c>
      <c r="AD60" s="30">
        <f t="shared" si="4"/>
        <v>0</v>
      </c>
      <c r="AE60" s="30">
        <f t="shared" si="5"/>
        <v>0</v>
      </c>
      <c r="AF60" s="32">
        <f>IFERROR(IF(I60&lt;8.5,(1-(0.1392+-0.00846*'phius_monthly climate data'!$I$2+-0.0001074*'phius_monthly climate data'!$I$2+0.0228*I60))*I60,(1-(0.1041+-0.008862*'phius_monthly climate data'!$I$2+-0.0001153*'phius_monthly climate data'!$I$2+0.02817*I60))*I60),"-")*T60</f>
        <v>0</v>
      </c>
    </row>
    <row r="61" spans="2:32" ht="34.799999999999997" hidden="1" x14ac:dyDescent="0.35">
      <c r="B61" s="17"/>
      <c r="C61" s="50"/>
      <c r="D61" s="61"/>
      <c r="E61" s="62"/>
      <c r="F61" s="52"/>
      <c r="G61" s="53"/>
      <c r="H61" s="23" t="s">
        <v>1146</v>
      </c>
      <c r="I61" s="47"/>
      <c r="J61" s="18" t="s">
        <v>1184</v>
      </c>
      <c r="K61" s="62"/>
      <c r="L61" s="52"/>
      <c r="M61" s="53"/>
      <c r="N61" s="23" t="s">
        <v>1146</v>
      </c>
      <c r="O61" s="47"/>
      <c r="P61" s="3"/>
      <c r="Q61" s="29">
        <f t="shared" si="0"/>
        <v>0</v>
      </c>
      <c r="R61" s="30">
        <f t="shared" si="1"/>
        <v>0</v>
      </c>
      <c r="S61" s="30">
        <f t="shared" si="2"/>
        <v>0</v>
      </c>
      <c r="T61" s="30">
        <f t="shared" si="3"/>
        <v>0</v>
      </c>
      <c r="U61" s="30">
        <f t="shared" si="6"/>
        <v>0</v>
      </c>
      <c r="V61" s="30">
        <f t="shared" si="7"/>
        <v>0</v>
      </c>
      <c r="W61" s="31">
        <f>IFERROR(IF(M61&lt;13.5,(1-(-0.5655+0.005414*'phius_monthly climate data'!$H$2+0.01039*M61))*M61,(1-(-0.5864+0.005668*'phius_monthly climate data'!$H$2+0.01029*M61))*M61),"-")*Q61</f>
        <v>0</v>
      </c>
      <c r="X61" s="30">
        <f t="shared" si="8"/>
        <v>0</v>
      </c>
      <c r="Y61" s="30">
        <f t="shared" si="9"/>
        <v>0</v>
      </c>
      <c r="Z61" s="30">
        <f t="shared" si="10"/>
        <v>0</v>
      </c>
      <c r="AA61" s="31">
        <f>IFERROR(IF(M61&lt;13.5,(1-(-0.5655+0.005414*'phius_monthly climate data'!$H$2+0.01039*M61))*M61,(1-(-0.5864+0.005668*'phius_monthly climate data'!$H$2+0.01029*M61))*M61),"-")*R61</f>
        <v>0</v>
      </c>
      <c r="AB61" s="30">
        <f t="shared" si="11"/>
        <v>0</v>
      </c>
      <c r="AC61" s="30">
        <f t="shared" si="4"/>
        <v>0</v>
      </c>
      <c r="AD61" s="30">
        <f t="shared" si="4"/>
        <v>0</v>
      </c>
      <c r="AE61" s="30">
        <f t="shared" si="5"/>
        <v>0</v>
      </c>
      <c r="AF61" s="32">
        <f>IFERROR(IF(I61&lt;8.5,(1-(0.1392+-0.00846*'phius_monthly climate data'!$I$2+-0.0001074*'phius_monthly climate data'!$I$2+0.0228*I61))*I61,(1-(0.1041+-0.008862*'phius_monthly climate data'!$I$2+-0.0001153*'phius_monthly climate data'!$I$2+0.02817*I61))*I61),"-")*T61</f>
        <v>0</v>
      </c>
    </row>
    <row r="62" spans="2:32" ht="34.799999999999997" hidden="1" x14ac:dyDescent="0.35">
      <c r="B62" s="17"/>
      <c r="C62" s="50"/>
      <c r="D62" s="61"/>
      <c r="E62" s="62"/>
      <c r="F62" s="52"/>
      <c r="G62" s="53"/>
      <c r="H62" s="23" t="s">
        <v>1146</v>
      </c>
      <c r="I62" s="47"/>
      <c r="J62" s="18" t="s">
        <v>1184</v>
      </c>
      <c r="K62" s="62"/>
      <c r="L62" s="52"/>
      <c r="M62" s="53"/>
      <c r="N62" s="23" t="s">
        <v>1146</v>
      </c>
      <c r="O62" s="47"/>
      <c r="P62" s="3"/>
      <c r="Q62" s="29">
        <f t="shared" si="0"/>
        <v>0</v>
      </c>
      <c r="R62" s="30">
        <f t="shared" si="1"/>
        <v>0</v>
      </c>
      <c r="S62" s="30">
        <f t="shared" si="2"/>
        <v>0</v>
      </c>
      <c r="T62" s="30">
        <f t="shared" si="3"/>
        <v>0</v>
      </c>
      <c r="U62" s="30">
        <f t="shared" si="6"/>
        <v>0</v>
      </c>
      <c r="V62" s="30">
        <f t="shared" si="7"/>
        <v>0</v>
      </c>
      <c r="W62" s="31">
        <f>IFERROR(IF(M62&lt;13.5,(1-(-0.5655+0.005414*'phius_monthly climate data'!$H$2+0.01039*M62))*M62,(1-(-0.5864+0.005668*'phius_monthly climate data'!$H$2+0.01029*M62))*M62),"-")*Q62</f>
        <v>0</v>
      </c>
      <c r="X62" s="30">
        <f t="shared" si="8"/>
        <v>0</v>
      </c>
      <c r="Y62" s="30">
        <f t="shared" si="9"/>
        <v>0</v>
      </c>
      <c r="Z62" s="30">
        <f t="shared" si="10"/>
        <v>0</v>
      </c>
      <c r="AA62" s="31">
        <f>IFERROR(IF(M62&lt;13.5,(1-(-0.5655+0.005414*'phius_monthly climate data'!$H$2+0.01039*M62))*M62,(1-(-0.5864+0.005668*'phius_monthly climate data'!$H$2+0.01029*M62))*M62),"-")*R62</f>
        <v>0</v>
      </c>
      <c r="AB62" s="30">
        <f t="shared" si="11"/>
        <v>0</v>
      </c>
      <c r="AC62" s="30">
        <f t="shared" si="4"/>
        <v>0</v>
      </c>
      <c r="AD62" s="30">
        <f t="shared" si="4"/>
        <v>0</v>
      </c>
      <c r="AE62" s="30">
        <f t="shared" si="5"/>
        <v>0</v>
      </c>
      <c r="AF62" s="32">
        <f>IFERROR(IF(I62&lt;8.5,(1-(0.1392+-0.00846*'phius_monthly climate data'!$I$2+-0.0001074*'phius_monthly climate data'!$I$2+0.0228*I62))*I62,(1-(0.1041+-0.008862*'phius_monthly climate data'!$I$2+-0.0001153*'phius_monthly climate data'!$I$2+0.02817*I62))*I62),"-")*T62</f>
        <v>0</v>
      </c>
    </row>
    <row r="63" spans="2:32" ht="35.4" hidden="1" thickBot="1" x14ac:dyDescent="0.4">
      <c r="B63" s="14"/>
      <c r="C63" s="51"/>
      <c r="D63" s="63"/>
      <c r="E63" s="64"/>
      <c r="F63" s="57"/>
      <c r="G63" s="58"/>
      <c r="H63" s="24" t="s">
        <v>1146</v>
      </c>
      <c r="I63" s="48"/>
      <c r="J63" s="19" t="s">
        <v>1184</v>
      </c>
      <c r="K63" s="64"/>
      <c r="L63" s="57"/>
      <c r="M63" s="58"/>
      <c r="N63" s="24" t="s">
        <v>1146</v>
      </c>
      <c r="O63" s="48"/>
      <c r="P63" s="3"/>
      <c r="Q63" s="33">
        <f t="shared" si="0"/>
        <v>0</v>
      </c>
      <c r="R63" s="34">
        <f t="shared" si="1"/>
        <v>0</v>
      </c>
      <c r="S63" s="34">
        <f t="shared" si="2"/>
        <v>0</v>
      </c>
      <c r="T63" s="34">
        <f t="shared" si="3"/>
        <v>0</v>
      </c>
      <c r="U63" s="34">
        <f t="shared" si="6"/>
        <v>0</v>
      </c>
      <c r="V63" s="34">
        <f t="shared" si="7"/>
        <v>0</v>
      </c>
      <c r="W63" s="35">
        <f>IFERROR(IF(M63&lt;13.5,(1-(-0.5655+0.005414*'phius_monthly climate data'!$H$2+0.01039*M63))*M63,(1-(-0.5864+0.005668*'phius_monthly climate data'!$H$2+0.01029*M63))*M63),"-")*Q63</f>
        <v>0</v>
      </c>
      <c r="X63" s="34">
        <f t="shared" si="8"/>
        <v>0</v>
      </c>
      <c r="Y63" s="34">
        <f t="shared" si="9"/>
        <v>0</v>
      </c>
      <c r="Z63" s="34">
        <f t="shared" si="10"/>
        <v>0</v>
      </c>
      <c r="AA63" s="35">
        <f>IFERROR(IF(M63&lt;13.5,(1-(-0.5655+0.005414*'phius_monthly climate data'!$H$2+0.01039*M63))*M63,(1-(-0.5864+0.005668*'phius_monthly climate data'!$H$2+0.01029*M63))*M63),"-")*R63</f>
        <v>0</v>
      </c>
      <c r="AB63" s="34">
        <f t="shared" si="11"/>
        <v>0</v>
      </c>
      <c r="AC63" s="34">
        <f t="shared" si="4"/>
        <v>0</v>
      </c>
      <c r="AD63" s="34">
        <f t="shared" si="4"/>
        <v>0</v>
      </c>
      <c r="AE63" s="34">
        <f t="shared" si="5"/>
        <v>0</v>
      </c>
      <c r="AF63" s="36">
        <f>IFERROR(IF(I63&lt;8.5,(1-(0.1392+-0.00846*'phius_monthly climate data'!$I$2+-0.0001074*'phius_monthly climate data'!$I$2+0.0228*I63))*I63,(1-(0.1041+-0.008862*'phius_monthly climate data'!$I$2+-0.0001153*'phius_monthly climate data'!$I$2+0.02817*I63))*I63),"-")*T63</f>
        <v>0</v>
      </c>
    </row>
    <row r="64" spans="2:32" hidden="1" x14ac:dyDescent="0.35"/>
    <row r="65" hidden="1" x14ac:dyDescent="0.35"/>
    <row r="66" hidden="1" x14ac:dyDescent="0.35"/>
    <row r="67" hidden="1" x14ac:dyDescent="0.35"/>
    <row r="68" hidden="1" x14ac:dyDescent="0.35"/>
    <row r="69" hidden="1" x14ac:dyDescent="0.35"/>
    <row r="70" hidden="1" x14ac:dyDescent="0.35"/>
    <row r="71" hidden="1" x14ac:dyDescent="0.35"/>
    <row r="72" hidden="1" x14ac:dyDescent="0.35"/>
    <row r="73" hidden="1" x14ac:dyDescent="0.35"/>
    <row r="74" hidden="1" x14ac:dyDescent="0.35"/>
    <row r="75" hidden="1" x14ac:dyDescent="0.35"/>
    <row r="76" hidden="1" x14ac:dyDescent="0.35"/>
    <row r="77" hidden="1" x14ac:dyDescent="0.35"/>
    <row r="78" hidden="1" x14ac:dyDescent="0.35"/>
    <row r="79" hidden="1" x14ac:dyDescent="0.35"/>
    <row r="80" hidden="1" x14ac:dyDescent="0.35"/>
    <row r="81" hidden="1" x14ac:dyDescent="0.35"/>
    <row r="82" hidden="1" x14ac:dyDescent="0.35"/>
    <row r="83" hidden="1" x14ac:dyDescent="0.35"/>
    <row r="84" hidden="1" x14ac:dyDescent="0.35"/>
    <row r="85" hidden="1" x14ac:dyDescent="0.35"/>
    <row r="86" hidden="1" x14ac:dyDescent="0.35"/>
    <row r="87" hidden="1" x14ac:dyDescent="0.35"/>
    <row r="88" hidden="1" x14ac:dyDescent="0.35"/>
    <row r="89" hidden="1" x14ac:dyDescent="0.35"/>
    <row r="90" hidden="1" x14ac:dyDescent="0.35"/>
    <row r="91" hidden="1" x14ac:dyDescent="0.35"/>
    <row r="92" hidden="1" x14ac:dyDescent="0.35"/>
    <row r="93" hidden="1" x14ac:dyDescent="0.35"/>
    <row r="94" hidden="1" x14ac:dyDescent="0.35"/>
    <row r="95" hidden="1" x14ac:dyDescent="0.35"/>
    <row r="96" hidden="1" x14ac:dyDescent="0.35"/>
    <row r="97" hidden="1" x14ac:dyDescent="0.35"/>
    <row r="98" hidden="1" x14ac:dyDescent="0.35"/>
    <row r="99" hidden="1" x14ac:dyDescent="0.35"/>
    <row r="100" hidden="1" x14ac:dyDescent="0.35"/>
    <row r="101" hidden="1" x14ac:dyDescent="0.35"/>
    <row r="102" hidden="1" x14ac:dyDescent="0.35"/>
    <row r="103" hidden="1" x14ac:dyDescent="0.35"/>
    <row r="104" hidden="1" x14ac:dyDescent="0.35"/>
    <row r="105" hidden="1" x14ac:dyDescent="0.35"/>
    <row r="106" hidden="1" x14ac:dyDescent="0.35"/>
    <row r="107" hidden="1" x14ac:dyDescent="0.35"/>
    <row r="108" hidden="1" x14ac:dyDescent="0.35"/>
    <row r="109" hidden="1" x14ac:dyDescent="0.35"/>
    <row r="110" hidden="1" x14ac:dyDescent="0.35"/>
    <row r="111" hidden="1" x14ac:dyDescent="0.35"/>
    <row r="112" hidden="1" x14ac:dyDescent="0.35"/>
    <row r="113" hidden="1" x14ac:dyDescent="0.35"/>
    <row r="114" hidden="1" x14ac:dyDescent="0.35"/>
    <row r="115" hidden="1" x14ac:dyDescent="0.35"/>
    <row r="116" hidden="1" x14ac:dyDescent="0.35"/>
    <row r="117" hidden="1" x14ac:dyDescent="0.35"/>
    <row r="118" hidden="1" x14ac:dyDescent="0.35"/>
    <row r="119" hidden="1" x14ac:dyDescent="0.35"/>
    <row r="120" hidden="1" x14ac:dyDescent="0.35"/>
    <row r="121" hidden="1" x14ac:dyDescent="0.35"/>
    <row r="122" hidden="1" x14ac:dyDescent="0.35"/>
    <row r="123" hidden="1" x14ac:dyDescent="0.35"/>
    <row r="124" hidden="1" x14ac:dyDescent="0.35"/>
    <row r="125" hidden="1" x14ac:dyDescent="0.35"/>
    <row r="126" hidden="1" x14ac:dyDescent="0.35"/>
    <row r="127" hidden="1" x14ac:dyDescent="0.35"/>
    <row r="128" hidden="1" x14ac:dyDescent="0.35"/>
  </sheetData>
  <sheetProtection sheet="1" objects="1" scenarios="1"/>
  <mergeCells count="41">
    <mergeCell ref="E16:O16"/>
    <mergeCell ref="B2:O2"/>
    <mergeCell ref="E3:O6"/>
    <mergeCell ref="B14:O14"/>
    <mergeCell ref="B15:C15"/>
    <mergeCell ref="E15:O15"/>
    <mergeCell ref="B8:O9"/>
    <mergeCell ref="E17:O17"/>
    <mergeCell ref="E18:O18"/>
    <mergeCell ref="B19:C19"/>
    <mergeCell ref="E19:O19"/>
    <mergeCell ref="E20:O24"/>
    <mergeCell ref="D20:D24"/>
    <mergeCell ref="Y36:AB36"/>
    <mergeCell ref="J36:J37"/>
    <mergeCell ref="L36:L37"/>
    <mergeCell ref="D36:E36"/>
    <mergeCell ref="B27:C27"/>
    <mergeCell ref="E27:O27"/>
    <mergeCell ref="E28:O31"/>
    <mergeCell ref="Q33:AF33"/>
    <mergeCell ref="B34:C34"/>
    <mergeCell ref="D34:O34"/>
    <mergeCell ref="Q34:AF34"/>
    <mergeCell ref="B35:B37"/>
    <mergeCell ref="C35:C37"/>
    <mergeCell ref="D35:I35"/>
    <mergeCell ref="J35:O35"/>
    <mergeCell ref="Q35:AF35"/>
    <mergeCell ref="AC36:AD36"/>
    <mergeCell ref="AE36:AE37"/>
    <mergeCell ref="AF36:AF37"/>
    <mergeCell ref="M36:M37"/>
    <mergeCell ref="O36:O37"/>
    <mergeCell ref="Q36:T36"/>
    <mergeCell ref="U36:X36"/>
    <mergeCell ref="F36:G36"/>
    <mergeCell ref="H36:H37"/>
    <mergeCell ref="I36:I37"/>
    <mergeCell ref="N36:N37"/>
    <mergeCell ref="B33:O33"/>
  </mergeCells>
  <conditionalFormatting sqref="C5:D6">
    <cfRule type="expression" dxfId="20" priority="7">
      <formula>$B$4="Typical"</formula>
    </cfRule>
  </conditionalFormatting>
  <conditionalFormatting sqref="F38:F63">
    <cfRule type="expression" dxfId="19" priority="4">
      <formula>ISBLANK(I38)</formula>
    </cfRule>
  </conditionalFormatting>
  <conditionalFormatting sqref="G38:G63">
    <cfRule type="expression" dxfId="18" priority="3">
      <formula>ISBLANK(I38)</formula>
    </cfRule>
  </conditionalFormatting>
  <conditionalFormatting sqref="I38:I63">
    <cfRule type="expression" dxfId="17" priority="5">
      <formula>AND(ISBLANK(F38),ISBLANK(G38))</formula>
    </cfRule>
  </conditionalFormatting>
  <conditionalFormatting sqref="L38:L63">
    <cfRule type="expression" dxfId="16" priority="2">
      <formula>ISBLANK(O38)</formula>
    </cfRule>
  </conditionalFormatting>
  <conditionalFormatting sqref="M38:M63">
    <cfRule type="expression" dxfId="15" priority="1">
      <formula>ISBLANK(O38)</formula>
    </cfRule>
  </conditionalFormatting>
  <conditionalFormatting sqref="O38:O63">
    <cfRule type="expression" dxfId="14" priority="6">
      <formula>AND(ISBLANK(L38),ISBLANK(M38))</formula>
    </cfRule>
  </conditionalFormatting>
  <dataValidations count="4">
    <dataValidation type="list" allowBlank="1" showInputMessage="1" sqref="C4" xr:uid="{8EEE16DC-6AF0-497D-8C1E-5E7FCBE61036}">
      <formula1>"USA, Canada"</formula1>
    </dataValidation>
    <dataValidation type="list" allowBlank="1" showInputMessage="1" showErrorMessage="1" sqref="J38:J63" xr:uid="{A240A091-CCD8-440F-A882-1C49BB910DEE}">
      <formula1>"Recirculation Air, Ventilation Air, Select"</formula1>
    </dataValidation>
    <dataValidation type="decimal" allowBlank="1" showInputMessage="1" showErrorMessage="1" sqref="C6:D6" xr:uid="{44BE08DD-41AD-42B8-9FF1-03B266543E69}">
      <formula1>-20</formula1>
      <formula2>120</formula2>
    </dataValidation>
    <dataValidation type="list" allowBlank="1" showInputMessage="1" showErrorMessage="1" sqref="B4" xr:uid="{34DB4522-DC9A-40B4-AA84-F36D449146E0}">
      <formula1>"Typical, Custom"</formula1>
    </dataValidation>
  </dataValidations>
  <pageMargins left="0.7" right="0.7" top="0.75" bottom="0.75" header="0.3" footer="0.3"/>
  <pageSetup orientation="portrait" horizontalDpi="4294967293" verticalDpi="4294967293" r:id="rId1"/>
  <drawing r:id="rId2"/>
  <extLst>
    <ext xmlns:x14="http://schemas.microsoft.com/office/spreadsheetml/2009/9/main" uri="{CCE6A557-97BC-4b89-ADB6-D9C93CAAB3DF}">
      <x14:dataValidations xmlns:xm="http://schemas.microsoft.com/office/excel/2006/main" count="2">
        <x14:dataValidation type="list" allowBlank="1" showInputMessage="1" xr:uid="{6660A6DB-4D3E-4CC7-A578-B11B61BA7C81}">
          <x14:formula1>
            <xm:f>'phius_monthly climate data'!$I$4:$I$74</xm:f>
          </x14:formula1>
          <xm:sqref>B6</xm:sqref>
        </x14:dataValidation>
        <x14:dataValidation type="list" allowBlank="1" showInputMessage="1" xr:uid="{646ABF48-DC2C-40CA-8F1F-C18C2917F821}">
          <x14:formula1>
            <xm:f>'phius_monthly climate data'!$H$4:$H$59</xm:f>
          </x14:formula1>
          <xm:sqref>D4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05698-B056-4BEC-8FD0-5981E6D6CAC6}">
  <dimension ref="A1:AJ58"/>
  <sheetViews>
    <sheetView zoomScale="85" zoomScaleNormal="85" workbookViewId="0">
      <pane ySplit="3" topLeftCell="A4" activePane="bottomLeft" state="frozen"/>
      <selection pane="bottomLeft" activeCell="B10" sqref="B10:O10"/>
    </sheetView>
  </sheetViews>
  <sheetFormatPr defaultColWidth="8.88671875" defaultRowHeight="15.6" x14ac:dyDescent="0.35"/>
  <cols>
    <col min="1" max="1" width="2.6640625" style="3" customWidth="1"/>
    <col min="2" max="2" width="50.6640625" style="4" customWidth="1"/>
    <col min="3" max="7" width="10.77734375" style="4" customWidth="1"/>
    <col min="8" max="8" width="3.77734375" style="4" customWidth="1"/>
    <col min="9" max="9" width="10.77734375" style="4" customWidth="1"/>
    <col min="10" max="10" width="20.77734375" style="4" customWidth="1"/>
    <col min="11" max="13" width="10.77734375" style="4" customWidth="1"/>
    <col min="14" max="14" width="3.77734375" style="4" customWidth="1"/>
    <col min="15" max="15" width="10.77734375" style="4" customWidth="1"/>
    <col min="16" max="16" width="3.77734375" style="4" customWidth="1"/>
    <col min="17" max="17" width="7.21875" style="1" bestFit="1" customWidth="1"/>
    <col min="18" max="18" width="5.77734375" style="1" bestFit="1" customWidth="1"/>
    <col min="19" max="20" width="4.88671875" style="1" bestFit="1" customWidth="1"/>
    <col min="21" max="22" width="6" style="1" bestFit="1" customWidth="1"/>
    <col min="23" max="23" width="14.77734375" style="1" bestFit="1" customWidth="1"/>
    <col min="24" max="24" width="5.33203125" style="1" bestFit="1" customWidth="1"/>
    <col min="25" max="26" width="6" style="1" bestFit="1" customWidth="1"/>
    <col min="27" max="27" width="14.77734375" style="1" bestFit="1" customWidth="1"/>
    <col min="28" max="28" width="5.33203125" style="1" bestFit="1" customWidth="1"/>
    <col min="29" max="29" width="4.88671875" style="1" bestFit="1" customWidth="1"/>
    <col min="30" max="30" width="4.88671875" style="3" bestFit="1" customWidth="1"/>
    <col min="31" max="31" width="6.21875" style="3" bestFit="1" customWidth="1"/>
    <col min="32" max="32" width="15" style="3" bestFit="1" customWidth="1"/>
    <col min="33" max="33" width="12.44140625" style="3" customWidth="1"/>
    <col min="34" max="16384" width="8.88671875" style="3"/>
  </cols>
  <sheetData>
    <row r="1" spans="1:29" ht="18" thickBot="1" x14ac:dyDescent="0.4">
      <c r="B1" s="46" t="s">
        <v>1219</v>
      </c>
    </row>
    <row r="2" spans="1:29" ht="19.95" customHeight="1" x14ac:dyDescent="0.35">
      <c r="B2" s="179" t="s">
        <v>1183</v>
      </c>
      <c r="C2" s="180"/>
      <c r="D2" s="180"/>
      <c r="E2" s="194" t="s">
        <v>1182</v>
      </c>
      <c r="F2" s="195"/>
      <c r="G2" s="195"/>
      <c r="H2" s="195"/>
      <c r="I2" s="195"/>
      <c r="J2" s="186" t="s">
        <v>1179</v>
      </c>
      <c r="K2" s="186"/>
      <c r="L2" s="186"/>
      <c r="M2" s="187" t="s">
        <v>1177</v>
      </c>
      <c r="N2" s="187"/>
      <c r="O2" s="188"/>
    </row>
    <row r="3" spans="1:29" ht="19.95" customHeight="1" thickBot="1" x14ac:dyDescent="0.4">
      <c r="B3" s="181"/>
      <c r="C3" s="182"/>
      <c r="D3" s="182"/>
      <c r="E3" s="177" t="s">
        <v>1181</v>
      </c>
      <c r="F3" s="178"/>
      <c r="G3" s="178"/>
      <c r="H3" s="178"/>
      <c r="I3" s="178"/>
      <c r="J3" s="196" t="s">
        <v>1180</v>
      </c>
      <c r="K3" s="196"/>
      <c r="L3" s="196"/>
      <c r="M3" s="189" t="s">
        <v>1178</v>
      </c>
      <c r="N3" s="189"/>
      <c r="O3" s="190"/>
    </row>
    <row r="4" spans="1:29" ht="4.95" customHeight="1" x14ac:dyDescent="0.35">
      <c r="B4" s="191"/>
      <c r="C4" s="191"/>
      <c r="D4" s="191"/>
      <c r="E4" s="192"/>
      <c r="F4" s="192"/>
      <c r="G4" s="192"/>
      <c r="H4" s="192"/>
      <c r="I4" s="192"/>
      <c r="J4" s="192"/>
      <c r="K4" s="192"/>
      <c r="L4" s="192"/>
      <c r="M4" s="192"/>
      <c r="N4" s="192"/>
      <c r="O4" s="192"/>
    </row>
    <row r="5" spans="1:29" ht="30" customHeight="1" thickBot="1" x14ac:dyDescent="0.4">
      <c r="B5" s="91" t="s">
        <v>1133</v>
      </c>
      <c r="C5" s="92"/>
      <c r="D5" s="92"/>
      <c r="E5" s="92"/>
      <c r="F5" s="92"/>
      <c r="G5" s="92"/>
      <c r="H5" s="92"/>
      <c r="I5" s="92"/>
      <c r="J5" s="92"/>
      <c r="K5" s="92"/>
      <c r="L5" s="92"/>
      <c r="M5" s="92"/>
      <c r="N5" s="92"/>
      <c r="O5" s="92"/>
    </row>
    <row r="6" spans="1:29" ht="34.950000000000003" customHeight="1" x14ac:dyDescent="0.35">
      <c r="B6" s="38" t="s">
        <v>1170</v>
      </c>
      <c r="C6" s="25" t="s">
        <v>0</v>
      </c>
      <c r="D6" s="37" t="str">
        <f>IF(C7="USA","State",IF(C7="Select","State","Province"))</f>
        <v>State</v>
      </c>
      <c r="E6" s="160" t="str">
        <f>IF(B7="Custom","Input the design temperatures from the custom criteria calculator that accompanied the custom climate data from Phius. Contact Us if no calculator was provided or if this data is missing. https://www.phius.org/help", "Align climate data selected with data used in WUFI Passive. Review section 6.1.2 of the Phius Certification Guidebook. https://www.phius.org/phius-certification-guidebook")</f>
        <v>Align climate data selected with data used in WUFI Passive. Review section 6.1.2 of the Phius Certification Guidebook. https://www.phius.org/phius-certification-guidebook</v>
      </c>
      <c r="F6" s="161"/>
      <c r="G6" s="161"/>
      <c r="H6" s="161"/>
      <c r="I6" s="161"/>
      <c r="J6" s="161"/>
      <c r="K6" s="161"/>
      <c r="L6" s="161"/>
      <c r="M6" s="161"/>
      <c r="N6" s="161"/>
      <c r="O6" s="162"/>
      <c r="P6" s="1"/>
      <c r="Y6" s="3"/>
    </row>
    <row r="7" spans="1:29" ht="19.95" customHeight="1" x14ac:dyDescent="0.35">
      <c r="B7" s="5" t="s">
        <v>1171</v>
      </c>
      <c r="C7" s="6" t="s">
        <v>77</v>
      </c>
      <c r="D7" s="6" t="s">
        <v>23</v>
      </c>
      <c r="E7" s="163"/>
      <c r="F7" s="164"/>
      <c r="G7" s="164"/>
      <c r="H7" s="164"/>
      <c r="I7" s="164"/>
      <c r="J7" s="164"/>
      <c r="K7" s="164"/>
      <c r="L7" s="164"/>
      <c r="M7" s="164"/>
      <c r="N7" s="164"/>
      <c r="O7" s="165"/>
      <c r="P7" s="1"/>
      <c r="Y7" s="3"/>
    </row>
    <row r="8" spans="1:29" ht="34.950000000000003" customHeight="1" x14ac:dyDescent="0.35">
      <c r="B8" s="39" t="str">
        <f>IF(B7="Typical", "Phius Climate Location", "Custom Climate Location")</f>
        <v>Phius Climate Location</v>
      </c>
      <c r="C8" s="40" t="str">
        <f>IF(B7="Typical","", "99% Dry Bulb Temp. [°F]")</f>
        <v/>
      </c>
      <c r="D8" s="40" t="str">
        <f>IF(B7="Typical", "", "1% Dry Bulb Temp. [°F]")</f>
        <v/>
      </c>
      <c r="E8" s="163"/>
      <c r="F8" s="164"/>
      <c r="G8" s="164"/>
      <c r="H8" s="164"/>
      <c r="I8" s="164"/>
      <c r="J8" s="164"/>
      <c r="K8" s="164"/>
      <c r="L8" s="164"/>
      <c r="M8" s="164"/>
      <c r="N8" s="164"/>
      <c r="O8" s="165"/>
      <c r="P8" s="1"/>
      <c r="Y8" s="3"/>
    </row>
    <row r="9" spans="1:29" ht="19.95" customHeight="1" thickBot="1" x14ac:dyDescent="0.4">
      <c r="B9" s="7" t="s">
        <v>462</v>
      </c>
      <c r="C9" s="8"/>
      <c r="D9" s="8"/>
      <c r="E9" s="166"/>
      <c r="F9" s="167"/>
      <c r="G9" s="167"/>
      <c r="H9" s="167"/>
      <c r="I9" s="167"/>
      <c r="J9" s="167"/>
      <c r="K9" s="167"/>
      <c r="L9" s="167"/>
      <c r="M9" s="167"/>
      <c r="N9" s="167"/>
      <c r="O9" s="168"/>
      <c r="Y9" s="3"/>
    </row>
    <row r="10" spans="1:29" ht="4.95" customHeight="1" x14ac:dyDescent="0.35">
      <c r="A10" s="4"/>
      <c r="B10" s="193"/>
      <c r="C10" s="193"/>
      <c r="D10" s="193"/>
      <c r="E10" s="193"/>
      <c r="F10" s="193"/>
      <c r="G10" s="193"/>
      <c r="H10" s="193"/>
      <c r="I10" s="193"/>
      <c r="J10" s="193"/>
      <c r="K10" s="193"/>
      <c r="L10" s="193"/>
      <c r="M10" s="193"/>
      <c r="N10" s="193"/>
      <c r="O10" s="193"/>
      <c r="Y10" s="3"/>
    </row>
    <row r="11" spans="1:29" ht="30" customHeight="1" thickBot="1" x14ac:dyDescent="0.4">
      <c r="A11" s="4"/>
      <c r="B11" s="91" t="str">
        <f>IF(C23="-","Enter 'System Performance Data' below to attain Results for WUFI Passive.","Results for WUFI Passive")</f>
        <v>Enter 'System Performance Data' below to attain Results for WUFI Passive.</v>
      </c>
      <c r="C11" s="92"/>
      <c r="D11" s="92"/>
      <c r="E11" s="92"/>
      <c r="F11" s="92"/>
      <c r="G11" s="92"/>
      <c r="H11" s="92"/>
      <c r="I11" s="92"/>
      <c r="J11" s="92"/>
      <c r="K11" s="92"/>
      <c r="L11" s="92"/>
      <c r="M11" s="92"/>
      <c r="N11" s="92"/>
      <c r="O11" s="92"/>
      <c r="Y11" s="3"/>
    </row>
    <row r="12" spans="1:29" ht="25.05" customHeight="1" x14ac:dyDescent="0.35">
      <c r="B12" s="149" t="s">
        <v>1161</v>
      </c>
      <c r="C12" s="150"/>
      <c r="D12" s="70" t="s">
        <v>1169</v>
      </c>
      <c r="E12" s="134" t="str">
        <f>IF(C13="-","If no cooling via Ventilation Air, no inputs required.","System &gt; Distribution &gt; Cooling: Check the box for 'Cooling via ventilation air'.")</f>
        <v>If no cooling via Ventilation Air, no inputs required.</v>
      </c>
      <c r="F12" s="135"/>
      <c r="G12" s="135"/>
      <c r="H12" s="135"/>
      <c r="I12" s="135"/>
      <c r="J12" s="135"/>
      <c r="K12" s="135"/>
      <c r="L12" s="135"/>
      <c r="M12" s="135"/>
      <c r="N12" s="135"/>
      <c r="O12" s="136"/>
      <c r="P12" s="3"/>
      <c r="S12" s="3"/>
      <c r="Z12" s="3"/>
      <c r="AA12" s="3"/>
      <c r="AB12" s="3"/>
      <c r="AC12" s="3"/>
    </row>
    <row r="13" spans="1:29" ht="34.950000000000003" customHeight="1" x14ac:dyDescent="0.35">
      <c r="B13" s="9" t="s">
        <v>1159</v>
      </c>
      <c r="C13" s="65" t="str" cm="1">
        <f t="array" ref="C13">IF(SUMPRODUCT(IF(J33:J58="Ventilation Air",C33:C58*K33:K58))&gt;682,ROUNDUP(SUMPRODUCT(IF(J33:J58="Ventilation Air",C33:C58*K33:K58))/682,0),IF(SUMPRODUCT(IF(J33:J58="Ventilation Air",C33:C58*K33:K58))&gt;0,1,"-"))</f>
        <v>-</v>
      </c>
      <c r="D13" s="71"/>
      <c r="E13" s="143" t="str">
        <f>IF(C13="-","-","Under Systems &gt; Create the number of systems noted to the left and add a heat pump device to each system.")</f>
        <v>-</v>
      </c>
      <c r="F13" s="144"/>
      <c r="G13" s="144"/>
      <c r="H13" s="144"/>
      <c r="I13" s="144"/>
      <c r="J13" s="144"/>
      <c r="K13" s="144"/>
      <c r="L13" s="144"/>
      <c r="M13" s="144"/>
      <c r="N13" s="144"/>
      <c r="O13" s="145"/>
      <c r="P13" s="3"/>
      <c r="S13" s="3"/>
      <c r="Z13" s="3"/>
      <c r="AA13" s="3"/>
      <c r="AB13" s="3"/>
      <c r="AC13" s="3"/>
    </row>
    <row r="14" spans="1:29" ht="34.950000000000003" customHeight="1" x14ac:dyDescent="0.35">
      <c r="B14" s="9" t="str">
        <f>IF(OR(C13=1,C13="-"),"Supply Air Cooling Capacity","Supply Air Cooling Capacity / system")</f>
        <v>Supply Air Cooling Capacity</v>
      </c>
      <c r="C14" s="65" t="str" cm="1">
        <f t="array" ref="C14">IFERROR(SUMPRODUCT(IF(J33:J58="Ventilation Air",C33:C58*K33:K58))/C13,"-")</f>
        <v>-</v>
      </c>
      <c r="D14" s="72" t="s">
        <v>1164</v>
      </c>
      <c r="E14" s="143" t="str">
        <f>IF(C13="-","-",IF(C13=1,"Input the cooling capacity calculated to the left. A ton of cooling is equivalent to 12 kBtu/hr.","Input the cooling capacity calculated to the left per system. A ton of cooling is equivalent to 12 kBtu/hr."))</f>
        <v>-</v>
      </c>
      <c r="F14" s="144"/>
      <c r="G14" s="144"/>
      <c r="H14" s="144"/>
      <c r="I14" s="144"/>
      <c r="J14" s="144"/>
      <c r="K14" s="144"/>
      <c r="L14" s="144"/>
      <c r="M14" s="144"/>
      <c r="N14" s="144"/>
      <c r="O14" s="145"/>
      <c r="P14" s="3"/>
      <c r="S14" s="3"/>
      <c r="Z14" s="3"/>
      <c r="AA14" s="3"/>
      <c r="AB14" s="3"/>
      <c r="AC14" s="3"/>
    </row>
    <row r="15" spans="1:29" ht="34.950000000000003" customHeight="1" thickBot="1" x14ac:dyDescent="0.4">
      <c r="B15" s="10" t="str">
        <f>IF(OR(C13=1,C13="-"),"Supply Air Cooling COP", "Supply Air Cooling COP / system")</f>
        <v>Supply Air Cooling COP</v>
      </c>
      <c r="C15" s="66" t="str">
        <f>IF(C13="-","-",(AVERAGE(SUM(Y33:Y58),SUM(AA33:AA58))/3.412+SUM(AB33:AB58)/3.412)/C13)</f>
        <v>-</v>
      </c>
      <c r="D15" s="73"/>
      <c r="E15" s="146" t="str">
        <f>IF(C13="-","-","The value calculated to the left is the weighted average COP for the cooling system as a whole.")</f>
        <v>-</v>
      </c>
      <c r="F15" s="147"/>
      <c r="G15" s="147"/>
      <c r="H15" s="147"/>
      <c r="I15" s="147"/>
      <c r="J15" s="147"/>
      <c r="K15" s="147"/>
      <c r="L15" s="147"/>
      <c r="M15" s="147"/>
      <c r="N15" s="147"/>
      <c r="O15" s="148"/>
      <c r="P15" s="3"/>
      <c r="S15" s="3"/>
      <c r="Z15" s="3"/>
      <c r="AA15" s="3"/>
      <c r="AB15" s="3"/>
      <c r="AC15" s="3"/>
    </row>
    <row r="16" spans="1:29" ht="25.05" customHeight="1" x14ac:dyDescent="0.35">
      <c r="B16" s="149" t="s">
        <v>1160</v>
      </c>
      <c r="C16" s="150"/>
      <c r="D16" s="70" t="s">
        <v>1169</v>
      </c>
      <c r="E16" s="134" t="str">
        <f>IF(C17="-","If no cooling via Recirculation Air, no inputs required.","System &gt; Distribution &gt; Cooling: Check the box for 'Cooling via air recirculation'.")</f>
        <v>If no cooling via Recirculation Air, no inputs required.</v>
      </c>
      <c r="F16" s="135"/>
      <c r="G16" s="135"/>
      <c r="H16" s="135"/>
      <c r="I16" s="135"/>
      <c r="J16" s="135"/>
      <c r="K16" s="135"/>
      <c r="L16" s="135"/>
      <c r="M16" s="135"/>
      <c r="N16" s="135"/>
      <c r="O16" s="136"/>
      <c r="P16" s="3"/>
      <c r="Q16" s="42"/>
      <c r="R16" s="42"/>
      <c r="S16" s="3"/>
      <c r="T16" s="42"/>
      <c r="U16" s="42"/>
      <c r="V16" s="42"/>
      <c r="W16" s="42"/>
      <c r="X16" s="42"/>
      <c r="Y16" s="42"/>
      <c r="Z16" s="3"/>
      <c r="AA16" s="3"/>
      <c r="AB16" s="3"/>
      <c r="AC16" s="3"/>
    </row>
    <row r="17" spans="2:36" ht="34.950000000000003" customHeight="1" x14ac:dyDescent="0.35">
      <c r="B17" s="9" t="s">
        <v>1159</v>
      </c>
      <c r="C17" s="65" t="str" cm="1">
        <f t="array" ref="C17">IF(SUMPRODUCT(IF(J33:J58="Recirculation Air",C33:C58*K33:K58))&gt;682,ROUNDUP(SUMPRODUCT(IF(J33:J58="Recirculation Air",C33:C58*K33:K58))/682,0),IF(SUMPRODUCT(IF(J33:J58="Recirculation Air",C33:C58*K33:K58))&gt;0,1,"-"))</f>
        <v>-</v>
      </c>
      <c r="D17" s="74"/>
      <c r="E17" s="143" t="str">
        <f>IF(C17="-","-","Under Systems &gt; Create the number of systems noted to the left and add a heat pump device to each system.")</f>
        <v>-</v>
      </c>
      <c r="F17" s="144"/>
      <c r="G17" s="144"/>
      <c r="H17" s="144"/>
      <c r="I17" s="144"/>
      <c r="J17" s="144"/>
      <c r="K17" s="144"/>
      <c r="L17" s="144"/>
      <c r="M17" s="144"/>
      <c r="N17" s="144"/>
      <c r="O17" s="145"/>
      <c r="P17" s="3"/>
      <c r="Q17" s="42"/>
      <c r="R17" s="42"/>
      <c r="S17" s="3"/>
      <c r="T17" s="42"/>
      <c r="U17" s="42"/>
      <c r="V17" s="42"/>
      <c r="W17" s="42"/>
      <c r="X17" s="42"/>
      <c r="Y17" s="42"/>
      <c r="Z17" s="3"/>
      <c r="AA17" s="3"/>
      <c r="AB17" s="3"/>
      <c r="AC17" s="3"/>
    </row>
    <row r="18" spans="2:36" ht="34.950000000000003" customHeight="1" x14ac:dyDescent="0.35">
      <c r="B18" s="9" t="str">
        <f>IF(OR(C17=1,C17="-"),"Space Cooling Coverage","Space Cooling Coverage / system")</f>
        <v>Space Cooling Coverage</v>
      </c>
      <c r="C18" s="67" t="str">
        <f>IF(C17="-","-",1/C17)</f>
        <v>-</v>
      </c>
      <c r="D18" s="74"/>
      <c r="E18" s="143" t="str">
        <f>IF(C18="-","-","Assign coverage to each new device created. If coverage is 0.33 (or similar), one input should be adjusted so the coverage sums to 1.")</f>
        <v>-</v>
      </c>
      <c r="F18" s="144"/>
      <c r="G18" s="144"/>
      <c r="H18" s="144"/>
      <c r="I18" s="144"/>
      <c r="J18" s="144"/>
      <c r="K18" s="144"/>
      <c r="L18" s="144"/>
      <c r="M18" s="144"/>
      <c r="N18" s="144"/>
      <c r="O18" s="145"/>
      <c r="P18" s="3"/>
      <c r="Q18" s="42"/>
      <c r="R18" s="42"/>
      <c r="S18" s="42"/>
      <c r="T18" s="42"/>
      <c r="U18" s="42"/>
      <c r="V18" s="42"/>
      <c r="W18" s="42"/>
      <c r="X18" s="42"/>
      <c r="Y18" s="42"/>
      <c r="Z18" s="3"/>
      <c r="AA18" s="3"/>
      <c r="AB18" s="3"/>
      <c r="AC18" s="3"/>
    </row>
    <row r="19" spans="2:36" ht="34.950000000000003" customHeight="1" x14ac:dyDescent="0.35">
      <c r="B19" s="9" t="str">
        <f>IF(OR(C17=1,C17="-"),"Recirculation Air Flow Rate", "Recirculation Air Flow Rate / system")</f>
        <v>Recirculation Air Flow Rate</v>
      </c>
      <c r="C19" s="68" t="str">
        <f>IF(C17="-","-",C20/12*300)</f>
        <v>-</v>
      </c>
      <c r="D19" s="72" t="s">
        <v>1165</v>
      </c>
      <c r="E19" s="143" t="str">
        <f>IF(C18="-","-",IF(C18=1,"Phius assumes 300 cfm of airflow per ton of cooling capacity.","Input the airflow calculated to the left per system. Phius assumes 300 cfm of airflow per ton of cooling capacity."))</f>
        <v>-</v>
      </c>
      <c r="F19" s="144"/>
      <c r="G19" s="144"/>
      <c r="H19" s="144"/>
      <c r="I19" s="144"/>
      <c r="J19" s="144"/>
      <c r="K19" s="144"/>
      <c r="L19" s="144"/>
      <c r="M19" s="144"/>
      <c r="N19" s="144"/>
      <c r="O19" s="145"/>
      <c r="P19" s="3"/>
      <c r="Q19" s="42"/>
      <c r="R19" s="42"/>
      <c r="S19" s="42"/>
      <c r="T19" s="42"/>
      <c r="U19" s="42"/>
      <c r="V19" s="42"/>
      <c r="W19" s="42"/>
      <c r="X19" s="42"/>
      <c r="Y19" s="42"/>
      <c r="Z19" s="3"/>
      <c r="AA19" s="3"/>
      <c r="AB19" s="3"/>
      <c r="AC19" s="3"/>
    </row>
    <row r="20" spans="2:36" ht="34.950000000000003" customHeight="1" x14ac:dyDescent="0.35">
      <c r="B20" s="9" t="str">
        <f>IF(OR(C17=1,C17="-"),"Recirculation Air Cooling Capacity","Recirculation Air Cooling Capacity / system")</f>
        <v>Recirculation Air Cooling Capacity</v>
      </c>
      <c r="C20" s="65" t="str" cm="1">
        <f t="array" ref="C20">IF(C17="-","-",SUMPRODUCT(IF(J33:J58="Recirculation Air",C33:C58*K33:K58))/C17)</f>
        <v>-</v>
      </c>
      <c r="D20" s="72" t="s">
        <v>1164</v>
      </c>
      <c r="E20" s="143" t="str">
        <f>IF(C18="-","-",IF(C18=1,"Input the cooling capacity calculated to the left. A ton of cooling is equivalent to 12 kBtu/hr.","Input the cooling capacity calculated to the left per system. A ton of cooling is equivalent to 12 kBtu/hr."))</f>
        <v>-</v>
      </c>
      <c r="F20" s="144"/>
      <c r="G20" s="144"/>
      <c r="H20" s="144"/>
      <c r="I20" s="144"/>
      <c r="J20" s="144"/>
      <c r="K20" s="144"/>
      <c r="L20" s="144"/>
      <c r="M20" s="144"/>
      <c r="N20" s="144"/>
      <c r="O20" s="145"/>
      <c r="P20" s="3"/>
      <c r="Q20" s="42"/>
      <c r="R20" s="42"/>
      <c r="S20" s="42"/>
      <c r="T20" s="42"/>
      <c r="U20" s="42"/>
      <c r="V20" s="42"/>
      <c r="W20" s="42"/>
      <c r="X20" s="42"/>
      <c r="Y20" s="42"/>
      <c r="Z20" s="3"/>
      <c r="AA20" s="3"/>
      <c r="AB20" s="3"/>
      <c r="AC20" s="3"/>
      <c r="AJ20" s="43"/>
    </row>
    <row r="21" spans="2:36" ht="34.950000000000003" customHeight="1" thickBot="1" x14ac:dyDescent="0.4">
      <c r="B21" s="11" t="str">
        <f>IF(OR(C17=1,C17="-"),"Recirculation Cooling COP", "Recirculation Cooling COP / system")</f>
        <v>Recirculation Cooling COP</v>
      </c>
      <c r="C21" s="66" t="str">
        <f>IF(C17="-","-",(AVERAGE(SUM(U33:U58),SUM(W33:W58))/3.412+SUM(X33:X58)/3.412)/C17)</f>
        <v>-</v>
      </c>
      <c r="D21" s="73"/>
      <c r="E21" s="146" t="str">
        <f>IF(C17="-","-","The value calculated to the left is the weighted average COP for the cooling system as a whole.")</f>
        <v>-</v>
      </c>
      <c r="F21" s="147"/>
      <c r="G21" s="147"/>
      <c r="H21" s="147"/>
      <c r="I21" s="147"/>
      <c r="J21" s="147"/>
      <c r="K21" s="147"/>
      <c r="L21" s="147"/>
      <c r="M21" s="147"/>
      <c r="N21" s="147"/>
      <c r="O21" s="148"/>
      <c r="P21" s="3"/>
      <c r="Q21" s="42"/>
      <c r="R21" s="42"/>
      <c r="S21" s="42"/>
      <c r="T21" s="42"/>
      <c r="U21" s="42"/>
      <c r="V21" s="42"/>
      <c r="W21" s="42"/>
      <c r="X21" s="42"/>
      <c r="Y21" s="42"/>
      <c r="Z21" s="42"/>
      <c r="AA21" s="42"/>
      <c r="AB21" s="42"/>
      <c r="AC21" s="42"/>
      <c r="AD21" s="42"/>
      <c r="AE21" s="42"/>
      <c r="AF21" s="42"/>
    </row>
    <row r="22" spans="2:36" ht="25.05" customHeight="1" thickBot="1" x14ac:dyDescent="0.4">
      <c r="B22" s="132" t="s">
        <v>1139</v>
      </c>
      <c r="C22" s="133"/>
      <c r="D22" s="70" t="s">
        <v>1169</v>
      </c>
      <c r="E22" s="183" t="str">
        <f>IF(C23="-","If no heating provided via heat pump, no inputs required.","System 1 &gt; General: Create a single Heat Pump Device and assign coverage to heating.")</f>
        <v>If no heating provided via heat pump, no inputs required.</v>
      </c>
      <c r="F22" s="184"/>
      <c r="G22" s="184"/>
      <c r="H22" s="184"/>
      <c r="I22" s="184"/>
      <c r="J22" s="184"/>
      <c r="K22" s="184"/>
      <c r="L22" s="184"/>
      <c r="M22" s="184"/>
      <c r="N22" s="184"/>
      <c r="O22" s="185"/>
      <c r="P22" s="3"/>
      <c r="Q22" s="2"/>
      <c r="R22" s="2"/>
      <c r="S22" s="2"/>
      <c r="T22" s="2"/>
      <c r="U22" s="2"/>
      <c r="V22" s="2"/>
      <c r="W22" s="2"/>
      <c r="X22" s="2"/>
      <c r="Y22" s="2"/>
      <c r="Z22" s="2"/>
      <c r="AA22" s="2"/>
      <c r="AB22" s="2"/>
      <c r="AC22" s="2"/>
      <c r="AD22" s="2"/>
      <c r="AE22" s="2"/>
      <c r="AF22" s="2"/>
    </row>
    <row r="23" spans="2:36" ht="19.95" customHeight="1" x14ac:dyDescent="0.35">
      <c r="B23" s="12" t="s">
        <v>1140</v>
      </c>
      <c r="C23" s="67" t="str" cm="1">
        <f t="array" ref="C23">IFERROR(SUM(AC33:AC58,AF33:AF58/3.412),"-")</f>
        <v>-</v>
      </c>
      <c r="D23" s="74"/>
      <c r="E23" s="137" t="str">
        <f>IF(C23="-","-","The values calculated to the left are weighted average COPs for the heating system as a whole. Under the heat pump device device noted above, set the Type to 'Heat Pump - rated monthly COP' and input values calculated to the left.")</f>
        <v>-</v>
      </c>
      <c r="F23" s="138"/>
      <c r="G23" s="138"/>
      <c r="H23" s="138"/>
      <c r="I23" s="138"/>
      <c r="J23" s="138"/>
      <c r="K23" s="138"/>
      <c r="L23" s="138"/>
      <c r="M23" s="138"/>
      <c r="N23" s="138"/>
      <c r="O23" s="139"/>
      <c r="P23" s="3"/>
      <c r="Q23" s="42"/>
      <c r="R23" s="42"/>
      <c r="S23" s="42"/>
      <c r="T23" s="42"/>
      <c r="U23" s="42"/>
      <c r="V23" s="42"/>
      <c r="W23" s="44"/>
      <c r="X23" s="42"/>
      <c r="Y23" s="42"/>
      <c r="Z23" s="42"/>
      <c r="AA23" s="44"/>
      <c r="AB23" s="42"/>
      <c r="AC23" s="42"/>
      <c r="AD23" s="42"/>
      <c r="AE23" s="42"/>
      <c r="AF23" s="42"/>
    </row>
    <row r="24" spans="2:36" ht="19.95" customHeight="1" thickBot="1" x14ac:dyDescent="0.4">
      <c r="B24" s="13" t="s">
        <v>1168</v>
      </c>
      <c r="C24" s="65">
        <f>D32</f>
        <v>17</v>
      </c>
      <c r="D24" s="72" t="s">
        <v>1166</v>
      </c>
      <c r="E24" s="137"/>
      <c r="F24" s="138"/>
      <c r="G24" s="138"/>
      <c r="H24" s="138"/>
      <c r="I24" s="138"/>
      <c r="J24" s="138"/>
      <c r="K24" s="138"/>
      <c r="L24" s="138"/>
      <c r="M24" s="138"/>
      <c r="N24" s="138"/>
      <c r="O24" s="139"/>
      <c r="P24" s="3"/>
      <c r="Q24" s="3"/>
      <c r="R24" s="3"/>
      <c r="S24" s="3"/>
      <c r="T24" s="3"/>
      <c r="U24" s="3"/>
      <c r="V24" s="3"/>
      <c r="W24" s="3"/>
      <c r="X24" s="3"/>
      <c r="Y24" s="3"/>
      <c r="Z24" s="3"/>
      <c r="AA24" s="3"/>
      <c r="AB24" s="3"/>
      <c r="AC24" s="3"/>
    </row>
    <row r="25" spans="2:36" ht="19.95" customHeight="1" x14ac:dyDescent="0.35">
      <c r="B25" s="12" t="s">
        <v>1141</v>
      </c>
      <c r="C25" s="67" t="str" cm="1">
        <f t="array" ref="C25">IFERROR(SUM(AD33:AD58,AF33:AF58/3.412),"-")</f>
        <v>-</v>
      </c>
      <c r="D25" s="74"/>
      <c r="E25" s="137"/>
      <c r="F25" s="138"/>
      <c r="G25" s="138"/>
      <c r="H25" s="138"/>
      <c r="I25" s="138"/>
      <c r="J25" s="138"/>
      <c r="K25" s="138"/>
      <c r="L25" s="138"/>
      <c r="M25" s="138"/>
      <c r="N25" s="138"/>
      <c r="O25" s="139"/>
      <c r="P25" s="3"/>
      <c r="Q25" s="3"/>
      <c r="R25" s="3"/>
      <c r="S25" s="3"/>
      <c r="T25" s="3"/>
      <c r="U25" s="3"/>
      <c r="V25" s="3"/>
      <c r="W25" s="3"/>
      <c r="X25" s="3"/>
      <c r="Y25" s="3"/>
      <c r="Z25" s="3"/>
      <c r="AA25" s="3"/>
      <c r="AB25" s="3"/>
      <c r="AC25" s="3"/>
    </row>
    <row r="26" spans="2:36" ht="19.95" customHeight="1" thickBot="1" x14ac:dyDescent="0.4">
      <c r="B26" s="13" t="s">
        <v>1167</v>
      </c>
      <c r="C26" s="69">
        <f>E32</f>
        <v>47</v>
      </c>
      <c r="D26" s="75" t="s">
        <v>1166</v>
      </c>
      <c r="E26" s="140"/>
      <c r="F26" s="141"/>
      <c r="G26" s="141"/>
      <c r="H26" s="141"/>
      <c r="I26" s="141"/>
      <c r="J26" s="141"/>
      <c r="K26" s="141"/>
      <c r="L26" s="141"/>
      <c r="M26" s="141"/>
      <c r="N26" s="141"/>
      <c r="O26" s="142"/>
      <c r="P26" s="3"/>
      <c r="Q26" s="3"/>
      <c r="R26" s="3"/>
      <c r="S26" s="3"/>
      <c r="T26" s="3"/>
      <c r="U26" s="3"/>
      <c r="V26" s="3"/>
      <c r="W26" s="3"/>
      <c r="X26" s="3"/>
      <c r="Y26" s="3"/>
      <c r="Z26" s="3"/>
      <c r="AA26" s="3"/>
      <c r="AB26" s="3"/>
      <c r="AC26" s="3"/>
    </row>
    <row r="27" spans="2:36" ht="4.95" customHeight="1" thickBot="1" x14ac:dyDescent="0.4">
      <c r="B27" s="175"/>
      <c r="C27" s="175"/>
      <c r="D27" s="175"/>
      <c r="E27" s="175"/>
      <c r="F27" s="175"/>
      <c r="G27" s="175"/>
      <c r="H27" s="175"/>
      <c r="I27" s="175"/>
      <c r="J27" s="175"/>
      <c r="K27" s="175"/>
      <c r="L27" s="175"/>
      <c r="M27" s="175"/>
      <c r="N27" s="175"/>
      <c r="O27" s="175"/>
      <c r="P27" s="3"/>
    </row>
    <row r="28" spans="2:36" ht="30" customHeight="1" thickBot="1" x14ac:dyDescent="0.4">
      <c r="B28" s="88" t="s">
        <v>1172</v>
      </c>
      <c r="C28" s="89"/>
      <c r="D28" s="89"/>
      <c r="E28" s="89"/>
      <c r="F28" s="89"/>
      <c r="G28" s="89"/>
      <c r="H28" s="89"/>
      <c r="I28" s="89"/>
      <c r="J28" s="89"/>
      <c r="K28" s="89"/>
      <c r="L28" s="89"/>
      <c r="M28" s="89"/>
      <c r="N28" s="89"/>
      <c r="O28" s="90"/>
      <c r="P28" s="176"/>
      <c r="Q28" s="91" t="s">
        <v>1173</v>
      </c>
      <c r="R28" s="92"/>
      <c r="S28" s="92"/>
      <c r="T28" s="92"/>
      <c r="U28" s="92"/>
      <c r="V28" s="92"/>
      <c r="W28" s="92"/>
      <c r="X28" s="92"/>
      <c r="Y28" s="92"/>
      <c r="Z28" s="92"/>
      <c r="AA28" s="92"/>
      <c r="AB28" s="92"/>
      <c r="AC28" s="92"/>
      <c r="AD28" s="92"/>
      <c r="AE28" s="92"/>
      <c r="AF28" s="92"/>
    </row>
    <row r="29" spans="2:36" ht="90" customHeight="1" thickBot="1" x14ac:dyDescent="0.4">
      <c r="B29" s="93" t="s">
        <v>1176</v>
      </c>
      <c r="C29" s="94"/>
      <c r="D29" s="93" t="s">
        <v>1185</v>
      </c>
      <c r="E29" s="95"/>
      <c r="F29" s="95"/>
      <c r="G29" s="95"/>
      <c r="H29" s="95"/>
      <c r="I29" s="95"/>
      <c r="J29" s="95"/>
      <c r="K29" s="95"/>
      <c r="L29" s="95"/>
      <c r="M29" s="95"/>
      <c r="N29" s="95"/>
      <c r="O29" s="94"/>
      <c r="P29" s="176"/>
      <c r="Q29" s="96" t="s">
        <v>1174</v>
      </c>
      <c r="R29" s="97"/>
      <c r="S29" s="97"/>
      <c r="T29" s="97"/>
      <c r="U29" s="97"/>
      <c r="V29" s="97"/>
      <c r="W29" s="97"/>
      <c r="X29" s="97"/>
      <c r="Y29" s="97"/>
      <c r="Z29" s="97"/>
      <c r="AA29" s="97"/>
      <c r="AB29" s="97"/>
      <c r="AC29" s="97"/>
      <c r="AD29" s="97"/>
      <c r="AE29" s="97"/>
      <c r="AF29" s="98"/>
    </row>
    <row r="30" spans="2:36" ht="19.95" customHeight="1" x14ac:dyDescent="0.35">
      <c r="B30" s="99" t="s">
        <v>1175</v>
      </c>
      <c r="C30" s="102" t="s">
        <v>1142</v>
      </c>
      <c r="D30" s="105" t="s">
        <v>1154</v>
      </c>
      <c r="E30" s="106"/>
      <c r="F30" s="106"/>
      <c r="G30" s="106"/>
      <c r="H30" s="106"/>
      <c r="I30" s="107"/>
      <c r="J30" s="108" t="s">
        <v>1155</v>
      </c>
      <c r="K30" s="109"/>
      <c r="L30" s="109"/>
      <c r="M30" s="109"/>
      <c r="N30" s="109"/>
      <c r="O30" s="110"/>
      <c r="P30" s="176"/>
      <c r="Q30" s="111" t="s">
        <v>1143</v>
      </c>
      <c r="R30" s="112"/>
      <c r="S30" s="113"/>
      <c r="T30" s="113"/>
      <c r="U30" s="113"/>
      <c r="V30" s="113"/>
      <c r="W30" s="113"/>
      <c r="X30" s="113"/>
      <c r="Y30" s="113"/>
      <c r="Z30" s="113"/>
      <c r="AA30" s="113"/>
      <c r="AB30" s="113"/>
      <c r="AC30" s="113"/>
      <c r="AD30" s="113"/>
      <c r="AE30" s="113"/>
      <c r="AF30" s="114"/>
    </row>
    <row r="31" spans="2:36" ht="40.049999999999997" customHeight="1" x14ac:dyDescent="0.35">
      <c r="B31" s="100"/>
      <c r="C31" s="103"/>
      <c r="D31" s="131" t="s">
        <v>1163</v>
      </c>
      <c r="E31" s="83"/>
      <c r="F31" s="82" t="s">
        <v>1162</v>
      </c>
      <c r="G31" s="83"/>
      <c r="H31" s="84" t="s">
        <v>53</v>
      </c>
      <c r="I31" s="86" t="s">
        <v>1134</v>
      </c>
      <c r="J31" s="129" t="s">
        <v>1152</v>
      </c>
      <c r="K31" s="21" t="s">
        <v>1188</v>
      </c>
      <c r="L31" s="121" t="s">
        <v>1136</v>
      </c>
      <c r="M31" s="121" t="s">
        <v>1137</v>
      </c>
      <c r="N31" s="84" t="s">
        <v>53</v>
      </c>
      <c r="O31" s="123" t="s">
        <v>1138</v>
      </c>
      <c r="P31" s="176"/>
      <c r="Q31" s="125" t="s">
        <v>1150</v>
      </c>
      <c r="R31" s="126"/>
      <c r="S31" s="127"/>
      <c r="T31" s="116"/>
      <c r="U31" s="115" t="s">
        <v>1153</v>
      </c>
      <c r="V31" s="126"/>
      <c r="W31" s="126"/>
      <c r="X31" s="126"/>
      <c r="Y31" s="115" t="s">
        <v>1158</v>
      </c>
      <c r="Z31" s="126"/>
      <c r="AA31" s="126"/>
      <c r="AB31" s="128"/>
      <c r="AC31" s="115" t="str">
        <f>F31</f>
        <v>COP @ [°F]</v>
      </c>
      <c r="AD31" s="116"/>
      <c r="AE31" s="117" t="s">
        <v>1134</v>
      </c>
      <c r="AF31" s="119" t="s">
        <v>1144</v>
      </c>
    </row>
    <row r="32" spans="2:36" ht="18" customHeight="1" thickBot="1" x14ac:dyDescent="0.4">
      <c r="B32" s="101"/>
      <c r="C32" s="104"/>
      <c r="D32" s="14">
        <v>17</v>
      </c>
      <c r="E32" s="8">
        <v>47</v>
      </c>
      <c r="F32" s="20">
        <f>D32</f>
        <v>17</v>
      </c>
      <c r="G32" s="20">
        <f>E32</f>
        <v>47</v>
      </c>
      <c r="H32" s="85"/>
      <c r="I32" s="87"/>
      <c r="J32" s="130"/>
      <c r="K32" s="76" t="s">
        <v>1189</v>
      </c>
      <c r="L32" s="122"/>
      <c r="M32" s="122"/>
      <c r="N32" s="85"/>
      <c r="O32" s="124"/>
      <c r="P32" s="176"/>
      <c r="Q32" s="27" t="s">
        <v>1156</v>
      </c>
      <c r="R32" s="28" t="s">
        <v>1157</v>
      </c>
      <c r="S32" s="45">
        <f>D32</f>
        <v>17</v>
      </c>
      <c r="T32" s="45">
        <f>E32</f>
        <v>47</v>
      </c>
      <c r="U32" s="28" t="str">
        <f>L31</f>
        <v>EER</v>
      </c>
      <c r="V32" s="28" t="str">
        <f>M31</f>
        <v>SEER</v>
      </c>
      <c r="W32" s="26" t="s">
        <v>1135</v>
      </c>
      <c r="X32" s="28" t="str">
        <f>O31</f>
        <v>IEER</v>
      </c>
      <c r="Y32" s="28" t="str">
        <f>U32</f>
        <v>EER</v>
      </c>
      <c r="Z32" s="28" t="str">
        <f>V32</f>
        <v>SEER</v>
      </c>
      <c r="AA32" s="28" t="str">
        <f>W32</f>
        <v>Derated SEER</v>
      </c>
      <c r="AB32" s="28" t="str">
        <f>X32</f>
        <v>IEER</v>
      </c>
      <c r="AC32" s="45">
        <f>D32</f>
        <v>17</v>
      </c>
      <c r="AD32" s="45">
        <f>E32</f>
        <v>47</v>
      </c>
      <c r="AE32" s="118"/>
      <c r="AF32" s="120"/>
    </row>
    <row r="33" spans="2:32" ht="17.399999999999999" x14ac:dyDescent="0.35">
      <c r="B33" s="54" t="s">
        <v>1187</v>
      </c>
      <c r="C33" s="55">
        <v>1</v>
      </c>
      <c r="D33" s="59"/>
      <c r="E33" s="60"/>
      <c r="F33" s="56"/>
      <c r="G33" s="56"/>
      <c r="H33" s="25" t="s">
        <v>1146</v>
      </c>
      <c r="I33" s="49"/>
      <c r="J33" s="16" t="s">
        <v>1184</v>
      </c>
      <c r="K33" s="60"/>
      <c r="L33" s="56"/>
      <c r="M33" s="56"/>
      <c r="N33" s="25" t="s">
        <v>1146</v>
      </c>
      <c r="O33" s="49"/>
      <c r="P33" s="176"/>
      <c r="Q33" s="29">
        <f t="shared" ref="Q33:Q58" si="0">IF(J33="Recirculation Air",IFERROR($C33*K33/C$20,"-"),0)</f>
        <v>0</v>
      </c>
      <c r="R33" s="30">
        <f t="shared" ref="R33:R58" si="1">IF(J33="Ventilation Air",IFERROR($C33*K33/C$14,"-"),0)</f>
        <v>0</v>
      </c>
      <c r="S33" s="30" t="str">
        <f t="shared" ref="S33:S58" si="2">IFERROR($C33*D33/SUMPRODUCT($C$33:$C$58,$D$33:$D$58),"-")</f>
        <v>-</v>
      </c>
      <c r="T33" s="30" t="str">
        <f t="shared" ref="T33:T58" si="3">IFERROR($C33*E33/SUMPRODUCT($C$33:$C$58,$E$33:$E$58),"-")</f>
        <v>-</v>
      </c>
      <c r="U33" s="30">
        <f>IF(X33&gt;0,"-",IFERROR(L33*Q33,"-"))</f>
        <v>0</v>
      </c>
      <c r="V33" s="30">
        <f>IF(X33&gt;0,"-",IFERROR(M33*Q33,"-"))</f>
        <v>0</v>
      </c>
      <c r="W33" s="31">
        <f>IFERROR(IF(M33&lt;13.5,(1-(-0.5655+0.005414*'phius_monthly climate data'!$H$2+0.01039*M33))*M33,(1-(-0.5864+0.005668*'phius_monthly climate data'!$H$2+0.01029*M33))*M33),"-")*Q33</f>
        <v>0</v>
      </c>
      <c r="X33" s="30">
        <f>IFERROR(O33*Q33,"-")</f>
        <v>0</v>
      </c>
      <c r="Y33" s="30">
        <f>IF(AB33&gt;0,"-",IFERROR(L33*R33,"-"))</f>
        <v>0</v>
      </c>
      <c r="Z33" s="30">
        <f>IF(AB33&gt;0,"-",IFERROR(M33*R33,"-"))</f>
        <v>0</v>
      </c>
      <c r="AA33" s="31">
        <f>IFERROR(IF(M33&lt;13.5,(1-(-0.5655+0.005414*'phius_monthly climate data'!$H$2+0.01039*M33))*M33,(1-(-0.5864+0.005668*'phius_monthly climate data'!$H$2+0.01029*M33))*M33),"-")*R33</f>
        <v>0</v>
      </c>
      <c r="AB33" s="30">
        <f>IFERROR(O33*R33,"-")</f>
        <v>0</v>
      </c>
      <c r="AC33" s="30" t="str">
        <f t="shared" ref="AC33:AC58" si="4">IFERROR(F33*S33,"-")</f>
        <v>-</v>
      </c>
      <c r="AD33" s="30" t="str">
        <f t="shared" ref="AD33:AD58" si="5">IFERROR(G33*T33,"-")</f>
        <v>-</v>
      </c>
      <c r="AE33" s="30" t="str">
        <f t="shared" ref="AE33:AE58" si="6">IFERROR(I33*T33,"-")</f>
        <v>-</v>
      </c>
      <c r="AF33" s="32" t="e">
        <f>IFERROR(IF(I33&lt;8.5,(1-(0.1392+-0.00846*'phius_monthly climate data'!$I$2+-0.0001074*'phius_monthly climate data'!$I$2+0.0228*I33))*I33,(1-(0.1041+-0.008862*'phius_monthly climate data'!$I$2+-0.0001153*'phius_monthly climate data'!$I$2+0.02817*I33))*I33),"-")*T33</f>
        <v>#VALUE!</v>
      </c>
    </row>
    <row r="34" spans="2:32" ht="17.399999999999999" x14ac:dyDescent="0.35">
      <c r="B34" s="15"/>
      <c r="C34" s="50"/>
      <c r="D34" s="61"/>
      <c r="E34" s="62"/>
      <c r="F34" s="52"/>
      <c r="G34" s="53"/>
      <c r="H34" s="23" t="s">
        <v>1146</v>
      </c>
      <c r="I34" s="47"/>
      <c r="J34" s="18" t="s">
        <v>1184</v>
      </c>
      <c r="K34" s="62"/>
      <c r="L34" s="52"/>
      <c r="M34" s="53"/>
      <c r="N34" s="23" t="s">
        <v>1146</v>
      </c>
      <c r="O34" s="47"/>
      <c r="P34" s="176"/>
      <c r="Q34" s="29">
        <f t="shared" si="0"/>
        <v>0</v>
      </c>
      <c r="R34" s="30">
        <f t="shared" si="1"/>
        <v>0</v>
      </c>
      <c r="S34" s="30" t="str">
        <f t="shared" si="2"/>
        <v>-</v>
      </c>
      <c r="T34" s="30" t="str">
        <f t="shared" si="3"/>
        <v>-</v>
      </c>
      <c r="U34" s="30">
        <f t="shared" ref="U34:U58" si="7">IF(X34&gt;0,"-",IFERROR(L34*Q34,"-"))</f>
        <v>0</v>
      </c>
      <c r="V34" s="30">
        <f t="shared" ref="V34:V58" si="8">IF(X34&gt;0,"-",IFERROR(M34*Q34,"-"))</f>
        <v>0</v>
      </c>
      <c r="W34" s="31">
        <f>IFERROR(IF(M34&lt;13.5,(1-(-0.5655+0.005414*'phius_monthly climate data'!$H$2+0.01039*M34))*M34,(1-(-0.5864+0.005668*'phius_monthly climate data'!$H$2+0.01029*M34))*M34),"-")*Q34</f>
        <v>0</v>
      </c>
      <c r="X34" s="30">
        <f t="shared" ref="X34:X58" si="9">IFERROR(O34*Q34,"-")</f>
        <v>0</v>
      </c>
      <c r="Y34" s="30">
        <f t="shared" ref="Y34:Y58" si="10">IF(AB34&gt;0,"-",IFERROR(L34*R34,"-"))</f>
        <v>0</v>
      </c>
      <c r="Z34" s="30">
        <f t="shared" ref="Z34:Z58" si="11">IF(AB34&gt;0,"-",IFERROR(M34*R34,"-"))</f>
        <v>0</v>
      </c>
      <c r="AA34" s="31">
        <f>IFERROR(IF(M34&lt;13.5,(1-(-0.5655+0.005414*'phius_monthly climate data'!$H$2+0.01039*M34))*M34,(1-(-0.5864+0.005668*'phius_monthly climate data'!$H$2+0.01029*M34))*M34),"-")*R34</f>
        <v>0</v>
      </c>
      <c r="AB34" s="30">
        <f t="shared" ref="AB34:AB58" si="12">IFERROR(O34*R34,"-")</f>
        <v>0</v>
      </c>
      <c r="AC34" s="30" t="str">
        <f t="shared" si="4"/>
        <v>-</v>
      </c>
      <c r="AD34" s="30" t="str">
        <f t="shared" si="5"/>
        <v>-</v>
      </c>
      <c r="AE34" s="30" t="str">
        <f t="shared" si="6"/>
        <v>-</v>
      </c>
      <c r="AF34" s="32" t="e">
        <f>IFERROR(IF(I34&lt;8.5,(1-(0.1392+-0.00846*'phius_monthly climate data'!$I$2+-0.0001074*'phius_monthly climate data'!$I$2+0.0228*I34))*I34,(1-(0.1041+-0.008862*'phius_monthly climate data'!$I$2+-0.0001153*'phius_monthly climate data'!$I$2+0.02817*I34))*I34),"-")*T34</f>
        <v>#VALUE!</v>
      </c>
    </row>
    <row r="35" spans="2:32" ht="17.399999999999999" x14ac:dyDescent="0.35">
      <c r="B35" s="15"/>
      <c r="C35" s="50"/>
      <c r="D35" s="61"/>
      <c r="E35" s="62"/>
      <c r="F35" s="52"/>
      <c r="G35" s="53"/>
      <c r="H35" s="23" t="s">
        <v>1146</v>
      </c>
      <c r="I35" s="47"/>
      <c r="J35" s="18" t="s">
        <v>1184</v>
      </c>
      <c r="K35" s="62"/>
      <c r="L35" s="52"/>
      <c r="M35" s="53"/>
      <c r="N35" s="23" t="s">
        <v>1146</v>
      </c>
      <c r="O35" s="47"/>
      <c r="P35" s="176"/>
      <c r="Q35" s="29">
        <f t="shared" si="0"/>
        <v>0</v>
      </c>
      <c r="R35" s="30">
        <f t="shared" si="1"/>
        <v>0</v>
      </c>
      <c r="S35" s="30" t="str">
        <f t="shared" si="2"/>
        <v>-</v>
      </c>
      <c r="T35" s="30" t="str">
        <f t="shared" si="3"/>
        <v>-</v>
      </c>
      <c r="U35" s="30">
        <f t="shared" si="7"/>
        <v>0</v>
      </c>
      <c r="V35" s="30">
        <f t="shared" si="8"/>
        <v>0</v>
      </c>
      <c r="W35" s="31">
        <f>IFERROR(IF(M35&lt;13.5,(1-(-0.5655+0.005414*'phius_monthly climate data'!$H$2+0.01039*M35))*M35,(1-(-0.5864+0.005668*'phius_monthly climate data'!$H$2+0.01029*M35))*M35),"-")*Q35</f>
        <v>0</v>
      </c>
      <c r="X35" s="30">
        <f t="shared" si="9"/>
        <v>0</v>
      </c>
      <c r="Y35" s="30">
        <f t="shared" si="10"/>
        <v>0</v>
      </c>
      <c r="Z35" s="30">
        <f t="shared" si="11"/>
        <v>0</v>
      </c>
      <c r="AA35" s="31">
        <f>IFERROR(IF(M35&lt;13.5,(1-(-0.5655+0.005414*'phius_monthly climate data'!$H$2+0.01039*M35))*M35,(1-(-0.5864+0.005668*'phius_monthly climate data'!$H$2+0.01029*M35))*M35),"-")*R35</f>
        <v>0</v>
      </c>
      <c r="AB35" s="30">
        <f t="shared" si="12"/>
        <v>0</v>
      </c>
      <c r="AC35" s="30" t="str">
        <f t="shared" si="4"/>
        <v>-</v>
      </c>
      <c r="AD35" s="30" t="str">
        <f t="shared" si="5"/>
        <v>-</v>
      </c>
      <c r="AE35" s="30" t="str">
        <f t="shared" si="6"/>
        <v>-</v>
      </c>
      <c r="AF35" s="32" t="e">
        <f>IFERROR(IF(I35&lt;8.5,(1-(0.1392+-0.00846*'phius_monthly climate data'!$I$2+-0.0001074*'phius_monthly climate data'!$I$2+0.0228*I35))*I35,(1-(0.1041+-0.008862*'phius_monthly climate data'!$I$2+-0.0001153*'phius_monthly climate data'!$I$2+0.02817*I35))*I35),"-")*T35</f>
        <v>#VALUE!</v>
      </c>
    </row>
    <row r="36" spans="2:32" ht="17.399999999999999" x14ac:dyDescent="0.35">
      <c r="B36" s="17"/>
      <c r="C36" s="50"/>
      <c r="D36" s="61"/>
      <c r="E36" s="62"/>
      <c r="F36" s="52"/>
      <c r="G36" s="53"/>
      <c r="H36" s="23" t="s">
        <v>1146</v>
      </c>
      <c r="I36" s="47"/>
      <c r="J36" s="18" t="s">
        <v>1184</v>
      </c>
      <c r="K36" s="62"/>
      <c r="L36" s="52"/>
      <c r="M36" s="53"/>
      <c r="N36" s="23" t="s">
        <v>1146</v>
      </c>
      <c r="O36" s="47"/>
      <c r="P36" s="176"/>
      <c r="Q36" s="29">
        <f t="shared" si="0"/>
        <v>0</v>
      </c>
      <c r="R36" s="30">
        <f t="shared" si="1"/>
        <v>0</v>
      </c>
      <c r="S36" s="30" t="str">
        <f t="shared" si="2"/>
        <v>-</v>
      </c>
      <c r="T36" s="30" t="str">
        <f t="shared" si="3"/>
        <v>-</v>
      </c>
      <c r="U36" s="30">
        <f t="shared" si="7"/>
        <v>0</v>
      </c>
      <c r="V36" s="30">
        <f t="shared" si="8"/>
        <v>0</v>
      </c>
      <c r="W36" s="31">
        <f>IFERROR(IF(M36&lt;13.5,(1-(-0.5655+0.005414*'phius_monthly climate data'!$H$2+0.01039*M36))*M36,(1-(-0.5864+0.005668*'phius_monthly climate data'!$H$2+0.01029*M36))*M36),"-")*Q36</f>
        <v>0</v>
      </c>
      <c r="X36" s="30">
        <f t="shared" si="9"/>
        <v>0</v>
      </c>
      <c r="Y36" s="30">
        <f t="shared" si="10"/>
        <v>0</v>
      </c>
      <c r="Z36" s="30">
        <f t="shared" si="11"/>
        <v>0</v>
      </c>
      <c r="AA36" s="31">
        <f>IFERROR(IF(M36&lt;13.5,(1-(-0.5655+0.005414*'phius_monthly climate data'!$H$2+0.01039*M36))*M36,(1-(-0.5864+0.005668*'phius_monthly climate data'!$H$2+0.01029*M36))*M36),"-")*R36</f>
        <v>0</v>
      </c>
      <c r="AB36" s="30">
        <f t="shared" si="12"/>
        <v>0</v>
      </c>
      <c r="AC36" s="30" t="str">
        <f t="shared" si="4"/>
        <v>-</v>
      </c>
      <c r="AD36" s="30" t="str">
        <f t="shared" si="5"/>
        <v>-</v>
      </c>
      <c r="AE36" s="30" t="str">
        <f t="shared" si="6"/>
        <v>-</v>
      </c>
      <c r="AF36" s="32" t="e">
        <f>IFERROR(IF(I36&lt;8.5,(1-(0.1392+-0.00846*'phius_monthly climate data'!$I$2+-0.0001074*'phius_monthly climate data'!$I$2+0.0228*I36))*I36,(1-(0.1041+-0.008862*'phius_monthly climate data'!$I$2+-0.0001153*'phius_monthly climate data'!$I$2+0.02817*I36))*I36),"-")*T36</f>
        <v>#VALUE!</v>
      </c>
    </row>
    <row r="37" spans="2:32" ht="17.399999999999999" x14ac:dyDescent="0.35">
      <c r="B37" s="17"/>
      <c r="C37" s="50"/>
      <c r="D37" s="61"/>
      <c r="E37" s="62"/>
      <c r="F37" s="52"/>
      <c r="G37" s="53"/>
      <c r="H37" s="23" t="s">
        <v>1146</v>
      </c>
      <c r="I37" s="47"/>
      <c r="J37" s="18" t="s">
        <v>1184</v>
      </c>
      <c r="K37" s="62"/>
      <c r="L37" s="52"/>
      <c r="M37" s="53"/>
      <c r="N37" s="23" t="s">
        <v>1146</v>
      </c>
      <c r="O37" s="47"/>
      <c r="P37" s="176"/>
      <c r="Q37" s="29">
        <f t="shared" si="0"/>
        <v>0</v>
      </c>
      <c r="R37" s="30">
        <f t="shared" si="1"/>
        <v>0</v>
      </c>
      <c r="S37" s="30" t="str">
        <f t="shared" si="2"/>
        <v>-</v>
      </c>
      <c r="T37" s="30" t="str">
        <f t="shared" si="3"/>
        <v>-</v>
      </c>
      <c r="U37" s="30">
        <f t="shared" si="7"/>
        <v>0</v>
      </c>
      <c r="V37" s="30">
        <f t="shared" si="8"/>
        <v>0</v>
      </c>
      <c r="W37" s="31">
        <f>IFERROR(IF(M37&lt;13.5,(1-(-0.5655+0.005414*'phius_monthly climate data'!$H$2+0.01039*M37))*M37,(1-(-0.5864+0.005668*'phius_monthly climate data'!$H$2+0.01029*M37))*M37),"-")*Q37</f>
        <v>0</v>
      </c>
      <c r="X37" s="30">
        <f t="shared" si="9"/>
        <v>0</v>
      </c>
      <c r="Y37" s="30">
        <f t="shared" si="10"/>
        <v>0</v>
      </c>
      <c r="Z37" s="30">
        <f t="shared" si="11"/>
        <v>0</v>
      </c>
      <c r="AA37" s="31">
        <f>IFERROR(IF(M37&lt;13.5,(1-(-0.5655+0.005414*'phius_monthly climate data'!$H$2+0.01039*M37))*M37,(1-(-0.5864+0.005668*'phius_monthly climate data'!$H$2+0.01029*M37))*M37),"-")*R37</f>
        <v>0</v>
      </c>
      <c r="AB37" s="30">
        <f t="shared" si="12"/>
        <v>0</v>
      </c>
      <c r="AC37" s="30" t="str">
        <f t="shared" si="4"/>
        <v>-</v>
      </c>
      <c r="AD37" s="30" t="str">
        <f t="shared" si="5"/>
        <v>-</v>
      </c>
      <c r="AE37" s="30" t="str">
        <f t="shared" si="6"/>
        <v>-</v>
      </c>
      <c r="AF37" s="32" t="e">
        <f>IFERROR(IF(I37&lt;8.5,(1-(0.1392+-0.00846*'phius_monthly climate data'!$I$2+-0.0001074*'phius_monthly climate data'!$I$2+0.0228*I37))*I37,(1-(0.1041+-0.008862*'phius_monthly climate data'!$I$2+-0.0001153*'phius_monthly climate data'!$I$2+0.02817*I37))*I37),"-")*T37</f>
        <v>#VALUE!</v>
      </c>
    </row>
    <row r="38" spans="2:32" ht="17.399999999999999" x14ac:dyDescent="0.35">
      <c r="B38" s="17"/>
      <c r="C38" s="50"/>
      <c r="D38" s="61"/>
      <c r="E38" s="62"/>
      <c r="F38" s="52"/>
      <c r="G38" s="53"/>
      <c r="H38" s="23" t="s">
        <v>1146</v>
      </c>
      <c r="I38" s="47"/>
      <c r="J38" s="18" t="s">
        <v>1184</v>
      </c>
      <c r="K38" s="62"/>
      <c r="L38" s="52"/>
      <c r="M38" s="53"/>
      <c r="N38" s="23" t="s">
        <v>1146</v>
      </c>
      <c r="O38" s="47"/>
      <c r="P38" s="176"/>
      <c r="Q38" s="29">
        <f t="shared" si="0"/>
        <v>0</v>
      </c>
      <c r="R38" s="30">
        <f t="shared" si="1"/>
        <v>0</v>
      </c>
      <c r="S38" s="30" t="str">
        <f t="shared" si="2"/>
        <v>-</v>
      </c>
      <c r="T38" s="30" t="str">
        <f t="shared" si="3"/>
        <v>-</v>
      </c>
      <c r="U38" s="30">
        <f t="shared" si="7"/>
        <v>0</v>
      </c>
      <c r="V38" s="30">
        <f t="shared" si="8"/>
        <v>0</v>
      </c>
      <c r="W38" s="31">
        <f>IFERROR(IF(M38&lt;13.5,(1-(-0.5655+0.005414*'phius_monthly climate data'!$H$2+0.01039*M38))*M38,(1-(-0.5864+0.005668*'phius_monthly climate data'!$H$2+0.01029*M38))*M38),"-")*Q38</f>
        <v>0</v>
      </c>
      <c r="X38" s="30">
        <f t="shared" si="9"/>
        <v>0</v>
      </c>
      <c r="Y38" s="30">
        <f t="shared" si="10"/>
        <v>0</v>
      </c>
      <c r="Z38" s="30">
        <f t="shared" si="11"/>
        <v>0</v>
      </c>
      <c r="AA38" s="31">
        <f>IFERROR(IF(M38&lt;13.5,(1-(-0.5655+0.005414*'phius_monthly climate data'!$H$2+0.01039*M38))*M38,(1-(-0.5864+0.005668*'phius_monthly climate data'!$H$2+0.01029*M38))*M38),"-")*R38</f>
        <v>0</v>
      </c>
      <c r="AB38" s="30">
        <f t="shared" si="12"/>
        <v>0</v>
      </c>
      <c r="AC38" s="30" t="str">
        <f t="shared" si="4"/>
        <v>-</v>
      </c>
      <c r="AD38" s="30" t="str">
        <f t="shared" si="5"/>
        <v>-</v>
      </c>
      <c r="AE38" s="30" t="str">
        <f t="shared" si="6"/>
        <v>-</v>
      </c>
      <c r="AF38" s="32" t="e">
        <f>IFERROR(IF(I38&lt;8.5,(1-(0.1392+-0.00846*'phius_monthly climate data'!$I$2+-0.0001074*'phius_monthly climate data'!$I$2+0.0228*I38))*I38,(1-(0.1041+-0.008862*'phius_monthly climate data'!$I$2+-0.0001153*'phius_monthly climate data'!$I$2+0.02817*I38))*I38),"-")*T38</f>
        <v>#VALUE!</v>
      </c>
    </row>
    <row r="39" spans="2:32" ht="17.399999999999999" x14ac:dyDescent="0.35">
      <c r="B39" s="17"/>
      <c r="C39" s="50"/>
      <c r="D39" s="61"/>
      <c r="E39" s="62"/>
      <c r="F39" s="52"/>
      <c r="G39" s="53"/>
      <c r="H39" s="23" t="s">
        <v>1146</v>
      </c>
      <c r="I39" s="47"/>
      <c r="J39" s="18" t="s">
        <v>1184</v>
      </c>
      <c r="K39" s="62"/>
      <c r="L39" s="52"/>
      <c r="M39" s="53"/>
      <c r="N39" s="23" t="s">
        <v>1146</v>
      </c>
      <c r="O39" s="47"/>
      <c r="P39" s="176"/>
      <c r="Q39" s="29">
        <f t="shared" si="0"/>
        <v>0</v>
      </c>
      <c r="R39" s="30">
        <f t="shared" si="1"/>
        <v>0</v>
      </c>
      <c r="S39" s="30" t="str">
        <f t="shared" si="2"/>
        <v>-</v>
      </c>
      <c r="T39" s="30" t="str">
        <f t="shared" si="3"/>
        <v>-</v>
      </c>
      <c r="U39" s="30">
        <f t="shared" si="7"/>
        <v>0</v>
      </c>
      <c r="V39" s="30">
        <f t="shared" si="8"/>
        <v>0</v>
      </c>
      <c r="W39" s="31">
        <f>IFERROR(IF(M39&lt;13.5,(1-(-0.5655+0.005414*'phius_monthly climate data'!$H$2+0.01039*M39))*M39,(1-(-0.5864+0.005668*'phius_monthly climate data'!$H$2+0.01029*M39))*M39),"-")*Q39</f>
        <v>0</v>
      </c>
      <c r="X39" s="30">
        <f t="shared" si="9"/>
        <v>0</v>
      </c>
      <c r="Y39" s="30">
        <f t="shared" si="10"/>
        <v>0</v>
      </c>
      <c r="Z39" s="30">
        <f t="shared" si="11"/>
        <v>0</v>
      </c>
      <c r="AA39" s="31">
        <f>IFERROR(IF(M39&lt;13.5,(1-(-0.5655+0.005414*'phius_monthly climate data'!$H$2+0.01039*M39))*M39,(1-(-0.5864+0.005668*'phius_monthly climate data'!$H$2+0.01029*M39))*M39),"-")*R39</f>
        <v>0</v>
      </c>
      <c r="AB39" s="30">
        <f t="shared" si="12"/>
        <v>0</v>
      </c>
      <c r="AC39" s="30" t="str">
        <f t="shared" si="4"/>
        <v>-</v>
      </c>
      <c r="AD39" s="30" t="str">
        <f t="shared" si="5"/>
        <v>-</v>
      </c>
      <c r="AE39" s="30" t="str">
        <f t="shared" si="6"/>
        <v>-</v>
      </c>
      <c r="AF39" s="32" t="e">
        <f>IFERROR(IF(I39&lt;8.5,(1-(0.1392+-0.00846*'phius_monthly climate data'!$I$2+-0.0001074*'phius_monthly climate data'!$I$2+0.0228*I39))*I39,(1-(0.1041+-0.008862*'phius_monthly climate data'!$I$2+-0.0001153*'phius_monthly climate data'!$I$2+0.02817*I39))*I39),"-")*T39</f>
        <v>#VALUE!</v>
      </c>
    </row>
    <row r="40" spans="2:32" ht="17.399999999999999" x14ac:dyDescent="0.35">
      <c r="B40" s="17"/>
      <c r="C40" s="50"/>
      <c r="D40" s="61"/>
      <c r="E40" s="62"/>
      <c r="F40" s="52"/>
      <c r="G40" s="53"/>
      <c r="H40" s="23" t="s">
        <v>1146</v>
      </c>
      <c r="I40" s="47"/>
      <c r="J40" s="18" t="s">
        <v>1184</v>
      </c>
      <c r="K40" s="62"/>
      <c r="L40" s="52"/>
      <c r="M40" s="53"/>
      <c r="N40" s="23" t="s">
        <v>1146</v>
      </c>
      <c r="O40" s="47"/>
      <c r="P40" s="176"/>
      <c r="Q40" s="29">
        <f t="shared" si="0"/>
        <v>0</v>
      </c>
      <c r="R40" s="30">
        <f t="shared" si="1"/>
        <v>0</v>
      </c>
      <c r="S40" s="30" t="str">
        <f t="shared" si="2"/>
        <v>-</v>
      </c>
      <c r="T40" s="30" t="str">
        <f t="shared" si="3"/>
        <v>-</v>
      </c>
      <c r="U40" s="30">
        <f t="shared" si="7"/>
        <v>0</v>
      </c>
      <c r="V40" s="30">
        <f t="shared" si="8"/>
        <v>0</v>
      </c>
      <c r="W40" s="31">
        <f>IFERROR(IF(M40&lt;13.5,(1-(-0.5655+0.005414*'phius_monthly climate data'!$H$2+0.01039*M40))*M40,(1-(-0.5864+0.005668*'phius_monthly climate data'!$H$2+0.01029*M40))*M40),"-")*Q40</f>
        <v>0</v>
      </c>
      <c r="X40" s="30">
        <f t="shared" si="9"/>
        <v>0</v>
      </c>
      <c r="Y40" s="30">
        <f t="shared" si="10"/>
        <v>0</v>
      </c>
      <c r="Z40" s="30">
        <f t="shared" si="11"/>
        <v>0</v>
      </c>
      <c r="AA40" s="31">
        <f>IFERROR(IF(M40&lt;13.5,(1-(-0.5655+0.005414*'phius_monthly climate data'!$H$2+0.01039*M40))*M40,(1-(-0.5864+0.005668*'phius_monthly climate data'!$H$2+0.01029*M40))*M40),"-")*R40</f>
        <v>0</v>
      </c>
      <c r="AB40" s="30">
        <f t="shared" si="12"/>
        <v>0</v>
      </c>
      <c r="AC40" s="30" t="str">
        <f t="shared" si="4"/>
        <v>-</v>
      </c>
      <c r="AD40" s="30" t="str">
        <f t="shared" si="5"/>
        <v>-</v>
      </c>
      <c r="AE40" s="30" t="str">
        <f t="shared" si="6"/>
        <v>-</v>
      </c>
      <c r="AF40" s="32" t="e">
        <f>IFERROR(IF(I40&lt;8.5,(1-(0.1392+-0.00846*'phius_monthly climate data'!$I$2+-0.0001074*'phius_monthly climate data'!$I$2+0.0228*I40))*I40,(1-(0.1041+-0.008862*'phius_monthly climate data'!$I$2+-0.0001153*'phius_monthly climate data'!$I$2+0.02817*I40))*I40),"-")*T40</f>
        <v>#VALUE!</v>
      </c>
    </row>
    <row r="41" spans="2:32" ht="17.399999999999999" x14ac:dyDescent="0.35">
      <c r="B41" s="17"/>
      <c r="C41" s="50"/>
      <c r="D41" s="61"/>
      <c r="E41" s="62"/>
      <c r="F41" s="52"/>
      <c r="G41" s="53"/>
      <c r="H41" s="23" t="s">
        <v>1146</v>
      </c>
      <c r="I41" s="47"/>
      <c r="J41" s="18" t="s">
        <v>1184</v>
      </c>
      <c r="K41" s="62"/>
      <c r="L41" s="52"/>
      <c r="M41" s="53"/>
      <c r="N41" s="23" t="s">
        <v>1146</v>
      </c>
      <c r="O41" s="47"/>
      <c r="P41" s="176"/>
      <c r="Q41" s="29">
        <f t="shared" si="0"/>
        <v>0</v>
      </c>
      <c r="R41" s="30">
        <f t="shared" si="1"/>
        <v>0</v>
      </c>
      <c r="S41" s="30" t="str">
        <f t="shared" si="2"/>
        <v>-</v>
      </c>
      <c r="T41" s="30" t="str">
        <f t="shared" si="3"/>
        <v>-</v>
      </c>
      <c r="U41" s="30">
        <f t="shared" si="7"/>
        <v>0</v>
      </c>
      <c r="V41" s="30">
        <f t="shared" si="8"/>
        <v>0</v>
      </c>
      <c r="W41" s="31">
        <f>IFERROR(IF(M41&lt;13.5,(1-(-0.5655+0.005414*'phius_monthly climate data'!$H$2+0.01039*M41))*M41,(1-(-0.5864+0.005668*'phius_monthly climate data'!$H$2+0.01029*M41))*M41),"-")*Q41</f>
        <v>0</v>
      </c>
      <c r="X41" s="30">
        <f t="shared" si="9"/>
        <v>0</v>
      </c>
      <c r="Y41" s="30">
        <f t="shared" si="10"/>
        <v>0</v>
      </c>
      <c r="Z41" s="30">
        <f t="shared" si="11"/>
        <v>0</v>
      </c>
      <c r="AA41" s="31">
        <f>IFERROR(IF(M41&lt;13.5,(1-(-0.5655+0.005414*'phius_monthly climate data'!$H$2+0.01039*M41))*M41,(1-(-0.5864+0.005668*'phius_monthly climate data'!$H$2+0.01029*M41))*M41),"-")*R41</f>
        <v>0</v>
      </c>
      <c r="AB41" s="30">
        <f t="shared" si="12"/>
        <v>0</v>
      </c>
      <c r="AC41" s="30" t="str">
        <f t="shared" si="4"/>
        <v>-</v>
      </c>
      <c r="AD41" s="30" t="str">
        <f t="shared" si="5"/>
        <v>-</v>
      </c>
      <c r="AE41" s="30" t="str">
        <f t="shared" si="6"/>
        <v>-</v>
      </c>
      <c r="AF41" s="32" t="e">
        <f>IFERROR(IF(I41&lt;8.5,(1-(0.1392+-0.00846*'phius_monthly climate data'!$I$2+-0.0001074*'phius_monthly climate data'!$I$2+0.0228*I41))*I41,(1-(0.1041+-0.008862*'phius_monthly climate data'!$I$2+-0.0001153*'phius_monthly climate data'!$I$2+0.02817*I41))*I41),"-")*T41</f>
        <v>#VALUE!</v>
      </c>
    </row>
    <row r="42" spans="2:32" ht="17.399999999999999" x14ac:dyDescent="0.35">
      <c r="B42" s="17"/>
      <c r="C42" s="50"/>
      <c r="D42" s="61"/>
      <c r="E42" s="62"/>
      <c r="F42" s="52"/>
      <c r="G42" s="53"/>
      <c r="H42" s="23" t="s">
        <v>1146</v>
      </c>
      <c r="I42" s="47"/>
      <c r="J42" s="18" t="s">
        <v>1184</v>
      </c>
      <c r="K42" s="62"/>
      <c r="L42" s="52"/>
      <c r="M42" s="53"/>
      <c r="N42" s="23" t="s">
        <v>1146</v>
      </c>
      <c r="O42" s="47"/>
      <c r="P42" s="176"/>
      <c r="Q42" s="29">
        <f t="shared" si="0"/>
        <v>0</v>
      </c>
      <c r="R42" s="30">
        <f t="shared" si="1"/>
        <v>0</v>
      </c>
      <c r="S42" s="30" t="str">
        <f t="shared" si="2"/>
        <v>-</v>
      </c>
      <c r="T42" s="30" t="str">
        <f t="shared" si="3"/>
        <v>-</v>
      </c>
      <c r="U42" s="30">
        <f t="shared" si="7"/>
        <v>0</v>
      </c>
      <c r="V42" s="30">
        <f t="shared" si="8"/>
        <v>0</v>
      </c>
      <c r="W42" s="31">
        <f>IFERROR(IF(M42&lt;13.5,(1-(-0.5655+0.005414*'phius_monthly climate data'!$H$2+0.01039*M42))*M42,(1-(-0.5864+0.005668*'phius_monthly climate data'!$H$2+0.01029*M42))*M42),"-")*Q42</f>
        <v>0</v>
      </c>
      <c r="X42" s="30">
        <f t="shared" si="9"/>
        <v>0</v>
      </c>
      <c r="Y42" s="30">
        <f t="shared" si="10"/>
        <v>0</v>
      </c>
      <c r="Z42" s="30">
        <f t="shared" si="11"/>
        <v>0</v>
      </c>
      <c r="AA42" s="31">
        <f>IFERROR(IF(M42&lt;13.5,(1-(-0.5655+0.005414*'phius_monthly climate data'!$H$2+0.01039*M42))*M42,(1-(-0.5864+0.005668*'phius_monthly climate data'!$H$2+0.01029*M42))*M42),"-")*R42</f>
        <v>0</v>
      </c>
      <c r="AB42" s="30">
        <f t="shared" si="12"/>
        <v>0</v>
      </c>
      <c r="AC42" s="30" t="str">
        <f t="shared" si="4"/>
        <v>-</v>
      </c>
      <c r="AD42" s="30" t="str">
        <f t="shared" si="5"/>
        <v>-</v>
      </c>
      <c r="AE42" s="30" t="str">
        <f t="shared" si="6"/>
        <v>-</v>
      </c>
      <c r="AF42" s="32" t="e">
        <f>IFERROR(IF(I42&lt;8.5,(1-(0.1392+-0.00846*'phius_monthly climate data'!$I$2+-0.0001074*'phius_monthly climate data'!$I$2+0.0228*I42))*I42,(1-(0.1041+-0.008862*'phius_monthly climate data'!$I$2+-0.0001153*'phius_monthly climate data'!$I$2+0.02817*I42))*I42),"-")*T42</f>
        <v>#VALUE!</v>
      </c>
    </row>
    <row r="43" spans="2:32" ht="17.399999999999999" x14ac:dyDescent="0.35">
      <c r="B43" s="17"/>
      <c r="C43" s="50"/>
      <c r="D43" s="61"/>
      <c r="E43" s="62"/>
      <c r="F43" s="52"/>
      <c r="G43" s="53"/>
      <c r="H43" s="23" t="s">
        <v>1146</v>
      </c>
      <c r="I43" s="47"/>
      <c r="J43" s="18" t="s">
        <v>1184</v>
      </c>
      <c r="K43" s="62"/>
      <c r="L43" s="52"/>
      <c r="M43" s="53"/>
      <c r="N43" s="23" t="s">
        <v>1146</v>
      </c>
      <c r="O43" s="47"/>
      <c r="P43" s="176"/>
      <c r="Q43" s="29">
        <f t="shared" si="0"/>
        <v>0</v>
      </c>
      <c r="R43" s="30">
        <f t="shared" si="1"/>
        <v>0</v>
      </c>
      <c r="S43" s="30" t="str">
        <f t="shared" si="2"/>
        <v>-</v>
      </c>
      <c r="T43" s="30" t="str">
        <f t="shared" si="3"/>
        <v>-</v>
      </c>
      <c r="U43" s="30">
        <f t="shared" si="7"/>
        <v>0</v>
      </c>
      <c r="V43" s="30">
        <f t="shared" si="8"/>
        <v>0</v>
      </c>
      <c r="W43" s="31">
        <f>IFERROR(IF(M43&lt;13.5,(1-(-0.5655+0.005414*'phius_monthly climate data'!$H$2+0.01039*M43))*M43,(1-(-0.5864+0.005668*'phius_monthly climate data'!$H$2+0.01029*M43))*M43),"-")*Q43</f>
        <v>0</v>
      </c>
      <c r="X43" s="30">
        <f t="shared" si="9"/>
        <v>0</v>
      </c>
      <c r="Y43" s="30">
        <f t="shared" si="10"/>
        <v>0</v>
      </c>
      <c r="Z43" s="30">
        <f t="shared" si="11"/>
        <v>0</v>
      </c>
      <c r="AA43" s="31">
        <f>IFERROR(IF(M43&lt;13.5,(1-(-0.5655+0.005414*'phius_monthly climate data'!$H$2+0.01039*M43))*M43,(1-(-0.5864+0.005668*'phius_monthly climate data'!$H$2+0.01029*M43))*M43),"-")*R43</f>
        <v>0</v>
      </c>
      <c r="AB43" s="30">
        <f t="shared" si="12"/>
        <v>0</v>
      </c>
      <c r="AC43" s="30" t="str">
        <f t="shared" si="4"/>
        <v>-</v>
      </c>
      <c r="AD43" s="30" t="str">
        <f t="shared" si="5"/>
        <v>-</v>
      </c>
      <c r="AE43" s="30" t="str">
        <f t="shared" si="6"/>
        <v>-</v>
      </c>
      <c r="AF43" s="32" t="e">
        <f>IFERROR(IF(I43&lt;8.5,(1-(0.1392+-0.00846*'phius_monthly climate data'!$I$2+-0.0001074*'phius_monthly climate data'!$I$2+0.0228*I43))*I43,(1-(0.1041+-0.008862*'phius_monthly climate data'!$I$2+-0.0001153*'phius_monthly climate data'!$I$2+0.02817*I43))*I43),"-")*T43</f>
        <v>#VALUE!</v>
      </c>
    </row>
    <row r="44" spans="2:32" ht="17.399999999999999" x14ac:dyDescent="0.35">
      <c r="B44" s="17"/>
      <c r="C44" s="50"/>
      <c r="D44" s="61"/>
      <c r="E44" s="62"/>
      <c r="F44" s="52"/>
      <c r="G44" s="53"/>
      <c r="H44" s="23" t="s">
        <v>1146</v>
      </c>
      <c r="I44" s="47"/>
      <c r="J44" s="18" t="s">
        <v>1184</v>
      </c>
      <c r="K44" s="62"/>
      <c r="L44" s="52"/>
      <c r="M44" s="53"/>
      <c r="N44" s="23" t="s">
        <v>1146</v>
      </c>
      <c r="O44" s="47"/>
      <c r="P44" s="176"/>
      <c r="Q44" s="29">
        <f t="shared" si="0"/>
        <v>0</v>
      </c>
      <c r="R44" s="30">
        <f t="shared" si="1"/>
        <v>0</v>
      </c>
      <c r="S44" s="30" t="str">
        <f t="shared" si="2"/>
        <v>-</v>
      </c>
      <c r="T44" s="30" t="str">
        <f t="shared" si="3"/>
        <v>-</v>
      </c>
      <c r="U44" s="30">
        <f t="shared" si="7"/>
        <v>0</v>
      </c>
      <c r="V44" s="30">
        <f t="shared" si="8"/>
        <v>0</v>
      </c>
      <c r="W44" s="31">
        <f>IFERROR(IF(M44&lt;13.5,(1-(-0.5655+0.005414*'phius_monthly climate data'!$H$2+0.01039*M44))*M44,(1-(-0.5864+0.005668*'phius_monthly climate data'!$H$2+0.01029*M44))*M44),"-")*Q44</f>
        <v>0</v>
      </c>
      <c r="X44" s="30">
        <f t="shared" si="9"/>
        <v>0</v>
      </c>
      <c r="Y44" s="30">
        <f t="shared" si="10"/>
        <v>0</v>
      </c>
      <c r="Z44" s="30">
        <f t="shared" si="11"/>
        <v>0</v>
      </c>
      <c r="AA44" s="31">
        <f>IFERROR(IF(M44&lt;13.5,(1-(-0.5655+0.005414*'phius_monthly climate data'!$H$2+0.01039*M44))*M44,(1-(-0.5864+0.005668*'phius_monthly climate data'!$H$2+0.01029*M44))*M44),"-")*R44</f>
        <v>0</v>
      </c>
      <c r="AB44" s="30">
        <f t="shared" si="12"/>
        <v>0</v>
      </c>
      <c r="AC44" s="30" t="str">
        <f t="shared" si="4"/>
        <v>-</v>
      </c>
      <c r="AD44" s="30" t="str">
        <f t="shared" si="5"/>
        <v>-</v>
      </c>
      <c r="AE44" s="30" t="str">
        <f t="shared" si="6"/>
        <v>-</v>
      </c>
      <c r="AF44" s="32" t="e">
        <f>IFERROR(IF(I44&lt;8.5,(1-(0.1392+-0.00846*'phius_monthly climate data'!$I$2+-0.0001074*'phius_monthly climate data'!$I$2+0.0228*I44))*I44,(1-(0.1041+-0.008862*'phius_monthly climate data'!$I$2+-0.0001153*'phius_monthly climate data'!$I$2+0.02817*I44))*I44),"-")*T44</f>
        <v>#VALUE!</v>
      </c>
    </row>
    <row r="45" spans="2:32" ht="17.399999999999999" x14ac:dyDescent="0.35">
      <c r="B45" s="17"/>
      <c r="C45" s="50"/>
      <c r="D45" s="61"/>
      <c r="E45" s="62"/>
      <c r="F45" s="52"/>
      <c r="G45" s="53"/>
      <c r="H45" s="23" t="s">
        <v>1146</v>
      </c>
      <c r="I45" s="47"/>
      <c r="J45" s="18" t="s">
        <v>1184</v>
      </c>
      <c r="K45" s="62"/>
      <c r="L45" s="52"/>
      <c r="M45" s="53"/>
      <c r="N45" s="23" t="s">
        <v>1146</v>
      </c>
      <c r="O45" s="47"/>
      <c r="P45" s="176"/>
      <c r="Q45" s="29">
        <f t="shared" si="0"/>
        <v>0</v>
      </c>
      <c r="R45" s="30">
        <f t="shared" si="1"/>
        <v>0</v>
      </c>
      <c r="S45" s="30" t="str">
        <f t="shared" si="2"/>
        <v>-</v>
      </c>
      <c r="T45" s="30" t="str">
        <f t="shared" si="3"/>
        <v>-</v>
      </c>
      <c r="U45" s="30">
        <f t="shared" si="7"/>
        <v>0</v>
      </c>
      <c r="V45" s="30">
        <f t="shared" si="8"/>
        <v>0</v>
      </c>
      <c r="W45" s="31">
        <f>IFERROR(IF(M45&lt;13.5,(1-(-0.5655+0.005414*'phius_monthly climate data'!$H$2+0.01039*M45))*M45,(1-(-0.5864+0.005668*'phius_monthly climate data'!$H$2+0.01029*M45))*M45),"-")*Q45</f>
        <v>0</v>
      </c>
      <c r="X45" s="30">
        <f t="shared" si="9"/>
        <v>0</v>
      </c>
      <c r="Y45" s="30">
        <f t="shared" si="10"/>
        <v>0</v>
      </c>
      <c r="Z45" s="30">
        <f t="shared" si="11"/>
        <v>0</v>
      </c>
      <c r="AA45" s="31">
        <f>IFERROR(IF(M45&lt;13.5,(1-(-0.5655+0.005414*'phius_monthly climate data'!$H$2+0.01039*M45))*M45,(1-(-0.5864+0.005668*'phius_monthly climate data'!$H$2+0.01029*M45))*M45),"-")*R45</f>
        <v>0</v>
      </c>
      <c r="AB45" s="30">
        <f t="shared" si="12"/>
        <v>0</v>
      </c>
      <c r="AC45" s="30" t="str">
        <f t="shared" si="4"/>
        <v>-</v>
      </c>
      <c r="AD45" s="30" t="str">
        <f t="shared" si="5"/>
        <v>-</v>
      </c>
      <c r="AE45" s="30" t="str">
        <f t="shared" si="6"/>
        <v>-</v>
      </c>
      <c r="AF45" s="32" t="e">
        <f>IFERROR(IF(I45&lt;8.5,(1-(0.1392+-0.00846*'phius_monthly climate data'!$I$2+-0.0001074*'phius_monthly climate data'!$I$2+0.0228*I45))*I45,(1-(0.1041+-0.008862*'phius_monthly climate data'!$I$2+-0.0001153*'phius_monthly climate data'!$I$2+0.02817*I45))*I45),"-")*T45</f>
        <v>#VALUE!</v>
      </c>
    </row>
    <row r="46" spans="2:32" ht="17.399999999999999" x14ac:dyDescent="0.35">
      <c r="B46" s="17"/>
      <c r="C46" s="50"/>
      <c r="D46" s="61"/>
      <c r="E46" s="62"/>
      <c r="F46" s="52"/>
      <c r="G46" s="53"/>
      <c r="H46" s="23" t="s">
        <v>1146</v>
      </c>
      <c r="I46" s="47"/>
      <c r="J46" s="18" t="s">
        <v>1184</v>
      </c>
      <c r="K46" s="62"/>
      <c r="L46" s="52"/>
      <c r="M46" s="53"/>
      <c r="N46" s="23" t="s">
        <v>1146</v>
      </c>
      <c r="O46" s="47"/>
      <c r="P46" s="176"/>
      <c r="Q46" s="29">
        <f t="shared" si="0"/>
        <v>0</v>
      </c>
      <c r="R46" s="30">
        <f t="shared" si="1"/>
        <v>0</v>
      </c>
      <c r="S46" s="30" t="str">
        <f t="shared" si="2"/>
        <v>-</v>
      </c>
      <c r="T46" s="30" t="str">
        <f t="shared" si="3"/>
        <v>-</v>
      </c>
      <c r="U46" s="30">
        <f t="shared" si="7"/>
        <v>0</v>
      </c>
      <c r="V46" s="30">
        <f t="shared" si="8"/>
        <v>0</v>
      </c>
      <c r="W46" s="31">
        <f>IFERROR(IF(M46&lt;13.5,(1-(-0.5655+0.005414*'phius_monthly climate data'!$H$2+0.01039*M46))*M46,(1-(-0.5864+0.005668*'phius_monthly climate data'!$H$2+0.01029*M46))*M46),"-")*Q46</f>
        <v>0</v>
      </c>
      <c r="X46" s="30">
        <f t="shared" si="9"/>
        <v>0</v>
      </c>
      <c r="Y46" s="30">
        <f t="shared" si="10"/>
        <v>0</v>
      </c>
      <c r="Z46" s="30">
        <f t="shared" si="11"/>
        <v>0</v>
      </c>
      <c r="AA46" s="31">
        <f>IFERROR(IF(M46&lt;13.5,(1-(-0.5655+0.005414*'phius_monthly climate data'!$H$2+0.01039*M46))*M46,(1-(-0.5864+0.005668*'phius_monthly climate data'!$H$2+0.01029*M46))*M46),"-")*R46</f>
        <v>0</v>
      </c>
      <c r="AB46" s="30">
        <f t="shared" si="12"/>
        <v>0</v>
      </c>
      <c r="AC46" s="30" t="str">
        <f t="shared" si="4"/>
        <v>-</v>
      </c>
      <c r="AD46" s="30" t="str">
        <f t="shared" si="5"/>
        <v>-</v>
      </c>
      <c r="AE46" s="30" t="str">
        <f t="shared" si="6"/>
        <v>-</v>
      </c>
      <c r="AF46" s="32" t="e">
        <f>IFERROR(IF(I46&lt;8.5,(1-(0.1392+-0.00846*'phius_monthly climate data'!$I$2+-0.0001074*'phius_monthly climate data'!$I$2+0.0228*I46))*I46,(1-(0.1041+-0.008862*'phius_monthly climate data'!$I$2+-0.0001153*'phius_monthly climate data'!$I$2+0.02817*I46))*I46),"-")*T46</f>
        <v>#VALUE!</v>
      </c>
    </row>
    <row r="47" spans="2:32" ht="17.399999999999999" x14ac:dyDescent="0.35">
      <c r="B47" s="17"/>
      <c r="C47" s="50"/>
      <c r="D47" s="61"/>
      <c r="E47" s="62"/>
      <c r="F47" s="52"/>
      <c r="G47" s="53"/>
      <c r="H47" s="23" t="s">
        <v>1146</v>
      </c>
      <c r="I47" s="47"/>
      <c r="J47" s="18" t="s">
        <v>1184</v>
      </c>
      <c r="K47" s="62"/>
      <c r="L47" s="52"/>
      <c r="M47" s="53"/>
      <c r="N47" s="23" t="s">
        <v>1146</v>
      </c>
      <c r="O47" s="47"/>
      <c r="P47" s="176"/>
      <c r="Q47" s="29">
        <f t="shared" si="0"/>
        <v>0</v>
      </c>
      <c r="R47" s="30">
        <f t="shared" si="1"/>
        <v>0</v>
      </c>
      <c r="S47" s="30" t="str">
        <f t="shared" si="2"/>
        <v>-</v>
      </c>
      <c r="T47" s="30" t="str">
        <f t="shared" si="3"/>
        <v>-</v>
      </c>
      <c r="U47" s="30">
        <f t="shared" si="7"/>
        <v>0</v>
      </c>
      <c r="V47" s="30">
        <f t="shared" si="8"/>
        <v>0</v>
      </c>
      <c r="W47" s="31">
        <f>IFERROR(IF(M47&lt;13.5,(1-(-0.5655+0.005414*'phius_monthly climate data'!$H$2+0.01039*M47))*M47,(1-(-0.5864+0.005668*'phius_monthly climate data'!$H$2+0.01029*M47))*M47),"-")*Q47</f>
        <v>0</v>
      </c>
      <c r="X47" s="30">
        <f t="shared" si="9"/>
        <v>0</v>
      </c>
      <c r="Y47" s="30">
        <f t="shared" si="10"/>
        <v>0</v>
      </c>
      <c r="Z47" s="30">
        <f t="shared" si="11"/>
        <v>0</v>
      </c>
      <c r="AA47" s="31">
        <f>IFERROR(IF(M47&lt;13.5,(1-(-0.5655+0.005414*'phius_monthly climate data'!$H$2+0.01039*M47))*M47,(1-(-0.5864+0.005668*'phius_monthly climate data'!$H$2+0.01029*M47))*M47),"-")*R47</f>
        <v>0</v>
      </c>
      <c r="AB47" s="30">
        <f t="shared" si="12"/>
        <v>0</v>
      </c>
      <c r="AC47" s="30" t="str">
        <f t="shared" si="4"/>
        <v>-</v>
      </c>
      <c r="AD47" s="30" t="str">
        <f t="shared" si="5"/>
        <v>-</v>
      </c>
      <c r="AE47" s="30" t="str">
        <f t="shared" si="6"/>
        <v>-</v>
      </c>
      <c r="AF47" s="32" t="e">
        <f>IFERROR(IF(I47&lt;8.5,(1-(0.1392+-0.00846*'phius_monthly climate data'!$I$2+-0.0001074*'phius_monthly climate data'!$I$2+0.0228*I47))*I47,(1-(0.1041+-0.008862*'phius_monthly climate data'!$I$2+-0.0001153*'phius_monthly climate data'!$I$2+0.02817*I47))*I47),"-")*T47</f>
        <v>#VALUE!</v>
      </c>
    </row>
    <row r="48" spans="2:32" ht="17.399999999999999" x14ac:dyDescent="0.35">
      <c r="B48" s="17"/>
      <c r="C48" s="50"/>
      <c r="D48" s="61"/>
      <c r="E48" s="62"/>
      <c r="F48" s="52"/>
      <c r="G48" s="53"/>
      <c r="H48" s="23" t="s">
        <v>1146</v>
      </c>
      <c r="I48" s="47"/>
      <c r="J48" s="18" t="s">
        <v>1184</v>
      </c>
      <c r="K48" s="62"/>
      <c r="L48" s="52"/>
      <c r="M48" s="53"/>
      <c r="N48" s="23" t="s">
        <v>1146</v>
      </c>
      <c r="O48" s="47"/>
      <c r="P48" s="176"/>
      <c r="Q48" s="29">
        <f t="shared" si="0"/>
        <v>0</v>
      </c>
      <c r="R48" s="30">
        <f t="shared" si="1"/>
        <v>0</v>
      </c>
      <c r="S48" s="30" t="str">
        <f t="shared" si="2"/>
        <v>-</v>
      </c>
      <c r="T48" s="30" t="str">
        <f t="shared" si="3"/>
        <v>-</v>
      </c>
      <c r="U48" s="30">
        <f t="shared" si="7"/>
        <v>0</v>
      </c>
      <c r="V48" s="30">
        <f t="shared" si="8"/>
        <v>0</v>
      </c>
      <c r="W48" s="31">
        <f>IFERROR(IF(M48&lt;13.5,(1-(-0.5655+0.005414*'phius_monthly climate data'!$H$2+0.01039*M48))*M48,(1-(-0.5864+0.005668*'phius_monthly climate data'!$H$2+0.01029*M48))*M48),"-")*Q48</f>
        <v>0</v>
      </c>
      <c r="X48" s="30">
        <f t="shared" si="9"/>
        <v>0</v>
      </c>
      <c r="Y48" s="30">
        <f t="shared" si="10"/>
        <v>0</v>
      </c>
      <c r="Z48" s="30">
        <f t="shared" si="11"/>
        <v>0</v>
      </c>
      <c r="AA48" s="31">
        <f>IFERROR(IF(M48&lt;13.5,(1-(-0.5655+0.005414*'phius_monthly climate data'!$H$2+0.01039*M48))*M48,(1-(-0.5864+0.005668*'phius_monthly climate data'!$H$2+0.01029*M48))*M48),"-")*R48</f>
        <v>0</v>
      </c>
      <c r="AB48" s="30">
        <f t="shared" si="12"/>
        <v>0</v>
      </c>
      <c r="AC48" s="30" t="str">
        <f t="shared" si="4"/>
        <v>-</v>
      </c>
      <c r="AD48" s="30" t="str">
        <f t="shared" si="5"/>
        <v>-</v>
      </c>
      <c r="AE48" s="30" t="str">
        <f t="shared" si="6"/>
        <v>-</v>
      </c>
      <c r="AF48" s="32" t="e">
        <f>IFERROR(IF(I48&lt;8.5,(1-(0.1392+-0.00846*'phius_monthly climate data'!$I$2+-0.0001074*'phius_monthly climate data'!$I$2+0.0228*I48))*I48,(1-(0.1041+-0.008862*'phius_monthly climate data'!$I$2+-0.0001153*'phius_monthly climate data'!$I$2+0.02817*I48))*I48),"-")*T48</f>
        <v>#VALUE!</v>
      </c>
    </row>
    <row r="49" spans="2:32" ht="17.399999999999999" x14ac:dyDescent="0.35">
      <c r="B49" s="17"/>
      <c r="C49" s="50"/>
      <c r="D49" s="61"/>
      <c r="E49" s="62"/>
      <c r="F49" s="52"/>
      <c r="G49" s="53"/>
      <c r="H49" s="23" t="s">
        <v>1146</v>
      </c>
      <c r="I49" s="47"/>
      <c r="J49" s="18" t="s">
        <v>1184</v>
      </c>
      <c r="K49" s="62"/>
      <c r="L49" s="52"/>
      <c r="M49" s="53"/>
      <c r="N49" s="23" t="s">
        <v>1146</v>
      </c>
      <c r="O49" s="47"/>
      <c r="P49" s="176"/>
      <c r="Q49" s="29">
        <f t="shared" si="0"/>
        <v>0</v>
      </c>
      <c r="R49" s="30">
        <f t="shared" si="1"/>
        <v>0</v>
      </c>
      <c r="S49" s="30" t="str">
        <f t="shared" si="2"/>
        <v>-</v>
      </c>
      <c r="T49" s="30" t="str">
        <f t="shared" si="3"/>
        <v>-</v>
      </c>
      <c r="U49" s="30">
        <f t="shared" si="7"/>
        <v>0</v>
      </c>
      <c r="V49" s="30">
        <f t="shared" si="8"/>
        <v>0</v>
      </c>
      <c r="W49" s="31">
        <f>IFERROR(IF(M49&lt;13.5,(1-(-0.5655+0.005414*'phius_monthly climate data'!$H$2+0.01039*M49))*M49,(1-(-0.5864+0.005668*'phius_monthly climate data'!$H$2+0.01029*M49))*M49),"-")*Q49</f>
        <v>0</v>
      </c>
      <c r="X49" s="30">
        <f t="shared" si="9"/>
        <v>0</v>
      </c>
      <c r="Y49" s="30">
        <f t="shared" si="10"/>
        <v>0</v>
      </c>
      <c r="Z49" s="30">
        <f t="shared" si="11"/>
        <v>0</v>
      </c>
      <c r="AA49" s="31">
        <f>IFERROR(IF(M49&lt;13.5,(1-(-0.5655+0.005414*'phius_monthly climate data'!$H$2+0.01039*M49))*M49,(1-(-0.5864+0.005668*'phius_monthly climate data'!$H$2+0.01029*M49))*M49),"-")*R49</f>
        <v>0</v>
      </c>
      <c r="AB49" s="30">
        <f t="shared" si="12"/>
        <v>0</v>
      </c>
      <c r="AC49" s="30" t="str">
        <f t="shared" si="4"/>
        <v>-</v>
      </c>
      <c r="AD49" s="30" t="str">
        <f t="shared" si="5"/>
        <v>-</v>
      </c>
      <c r="AE49" s="30" t="str">
        <f t="shared" si="6"/>
        <v>-</v>
      </c>
      <c r="AF49" s="32" t="e">
        <f>IFERROR(IF(I49&lt;8.5,(1-(0.1392+-0.00846*'phius_monthly climate data'!$I$2+-0.0001074*'phius_monthly climate data'!$I$2+0.0228*I49))*I49,(1-(0.1041+-0.008862*'phius_monthly climate data'!$I$2+-0.0001153*'phius_monthly climate data'!$I$2+0.02817*I49))*I49),"-")*T49</f>
        <v>#VALUE!</v>
      </c>
    </row>
    <row r="50" spans="2:32" ht="17.399999999999999" x14ac:dyDescent="0.35">
      <c r="B50" s="17"/>
      <c r="C50" s="50"/>
      <c r="D50" s="61"/>
      <c r="E50" s="62"/>
      <c r="F50" s="52"/>
      <c r="G50" s="53"/>
      <c r="H50" s="23" t="s">
        <v>1146</v>
      </c>
      <c r="I50" s="47"/>
      <c r="J50" s="18" t="s">
        <v>1184</v>
      </c>
      <c r="K50" s="62"/>
      <c r="L50" s="52"/>
      <c r="M50" s="53"/>
      <c r="N50" s="23" t="s">
        <v>1146</v>
      </c>
      <c r="O50" s="47"/>
      <c r="P50" s="176"/>
      <c r="Q50" s="29">
        <f t="shared" si="0"/>
        <v>0</v>
      </c>
      <c r="R50" s="30">
        <f t="shared" si="1"/>
        <v>0</v>
      </c>
      <c r="S50" s="30" t="str">
        <f t="shared" si="2"/>
        <v>-</v>
      </c>
      <c r="T50" s="30" t="str">
        <f t="shared" si="3"/>
        <v>-</v>
      </c>
      <c r="U50" s="30">
        <f t="shared" si="7"/>
        <v>0</v>
      </c>
      <c r="V50" s="30">
        <f t="shared" si="8"/>
        <v>0</v>
      </c>
      <c r="W50" s="31">
        <f>IFERROR(IF(M50&lt;13.5,(1-(-0.5655+0.005414*'phius_monthly climate data'!$H$2+0.01039*M50))*M50,(1-(-0.5864+0.005668*'phius_monthly climate data'!$H$2+0.01029*M50))*M50),"-")*Q50</f>
        <v>0</v>
      </c>
      <c r="X50" s="30">
        <f t="shared" si="9"/>
        <v>0</v>
      </c>
      <c r="Y50" s="30">
        <f t="shared" si="10"/>
        <v>0</v>
      </c>
      <c r="Z50" s="30">
        <f t="shared" si="11"/>
        <v>0</v>
      </c>
      <c r="AA50" s="31">
        <f>IFERROR(IF(M50&lt;13.5,(1-(-0.5655+0.005414*'phius_monthly climate data'!$H$2+0.01039*M50))*M50,(1-(-0.5864+0.005668*'phius_monthly climate data'!$H$2+0.01029*M50))*M50),"-")*R50</f>
        <v>0</v>
      </c>
      <c r="AB50" s="30">
        <f t="shared" si="12"/>
        <v>0</v>
      </c>
      <c r="AC50" s="30" t="str">
        <f t="shared" si="4"/>
        <v>-</v>
      </c>
      <c r="AD50" s="30" t="str">
        <f t="shared" si="5"/>
        <v>-</v>
      </c>
      <c r="AE50" s="30" t="str">
        <f t="shared" si="6"/>
        <v>-</v>
      </c>
      <c r="AF50" s="32" t="e">
        <f>IFERROR(IF(I50&lt;8.5,(1-(0.1392+-0.00846*'phius_monthly climate data'!$I$2+-0.0001074*'phius_monthly climate data'!$I$2+0.0228*I50))*I50,(1-(0.1041+-0.008862*'phius_monthly climate data'!$I$2+-0.0001153*'phius_monthly climate data'!$I$2+0.02817*I50))*I50),"-")*T50</f>
        <v>#VALUE!</v>
      </c>
    </row>
    <row r="51" spans="2:32" ht="17.399999999999999" x14ac:dyDescent="0.35">
      <c r="B51" s="17"/>
      <c r="C51" s="50"/>
      <c r="D51" s="61"/>
      <c r="E51" s="62"/>
      <c r="F51" s="52"/>
      <c r="G51" s="53"/>
      <c r="H51" s="23" t="s">
        <v>1146</v>
      </c>
      <c r="I51" s="47"/>
      <c r="J51" s="18" t="s">
        <v>1184</v>
      </c>
      <c r="K51" s="62"/>
      <c r="L51" s="52"/>
      <c r="M51" s="53"/>
      <c r="N51" s="23" t="s">
        <v>1146</v>
      </c>
      <c r="O51" s="47"/>
      <c r="P51" s="176"/>
      <c r="Q51" s="29">
        <f t="shared" si="0"/>
        <v>0</v>
      </c>
      <c r="R51" s="30">
        <f t="shared" si="1"/>
        <v>0</v>
      </c>
      <c r="S51" s="30" t="str">
        <f t="shared" si="2"/>
        <v>-</v>
      </c>
      <c r="T51" s="30" t="str">
        <f t="shared" si="3"/>
        <v>-</v>
      </c>
      <c r="U51" s="30">
        <f t="shared" si="7"/>
        <v>0</v>
      </c>
      <c r="V51" s="30">
        <f t="shared" si="8"/>
        <v>0</v>
      </c>
      <c r="W51" s="31">
        <f>IFERROR(IF(M51&lt;13.5,(1-(-0.5655+0.005414*'phius_monthly climate data'!$H$2+0.01039*M51))*M51,(1-(-0.5864+0.005668*'phius_monthly climate data'!$H$2+0.01029*M51))*M51),"-")*Q51</f>
        <v>0</v>
      </c>
      <c r="X51" s="30">
        <f t="shared" si="9"/>
        <v>0</v>
      </c>
      <c r="Y51" s="30">
        <f t="shared" si="10"/>
        <v>0</v>
      </c>
      <c r="Z51" s="30">
        <f t="shared" si="11"/>
        <v>0</v>
      </c>
      <c r="AA51" s="31">
        <f>IFERROR(IF(M51&lt;13.5,(1-(-0.5655+0.005414*'phius_monthly climate data'!$H$2+0.01039*M51))*M51,(1-(-0.5864+0.005668*'phius_monthly climate data'!$H$2+0.01029*M51))*M51),"-")*R51</f>
        <v>0</v>
      </c>
      <c r="AB51" s="30">
        <f t="shared" si="12"/>
        <v>0</v>
      </c>
      <c r="AC51" s="30" t="str">
        <f t="shared" si="4"/>
        <v>-</v>
      </c>
      <c r="AD51" s="30" t="str">
        <f t="shared" si="5"/>
        <v>-</v>
      </c>
      <c r="AE51" s="30" t="str">
        <f t="shared" si="6"/>
        <v>-</v>
      </c>
      <c r="AF51" s="32" t="e">
        <f>IFERROR(IF(I51&lt;8.5,(1-(0.1392+-0.00846*'phius_monthly climate data'!$I$2+-0.0001074*'phius_monthly climate data'!$I$2+0.0228*I51))*I51,(1-(0.1041+-0.008862*'phius_monthly climate data'!$I$2+-0.0001153*'phius_monthly climate data'!$I$2+0.02817*I51))*I51),"-")*T51</f>
        <v>#VALUE!</v>
      </c>
    </row>
    <row r="52" spans="2:32" ht="17.399999999999999" x14ac:dyDescent="0.35">
      <c r="B52" s="17"/>
      <c r="C52" s="50"/>
      <c r="D52" s="61"/>
      <c r="E52" s="62"/>
      <c r="F52" s="52"/>
      <c r="G52" s="53"/>
      <c r="H52" s="23" t="s">
        <v>1146</v>
      </c>
      <c r="I52" s="47"/>
      <c r="J52" s="18" t="s">
        <v>1184</v>
      </c>
      <c r="K52" s="62"/>
      <c r="L52" s="52"/>
      <c r="M52" s="53"/>
      <c r="N52" s="23" t="s">
        <v>1146</v>
      </c>
      <c r="O52" s="47"/>
      <c r="P52" s="176"/>
      <c r="Q52" s="29">
        <f t="shared" si="0"/>
        <v>0</v>
      </c>
      <c r="R52" s="30">
        <f t="shared" si="1"/>
        <v>0</v>
      </c>
      <c r="S52" s="30" t="str">
        <f t="shared" si="2"/>
        <v>-</v>
      </c>
      <c r="T52" s="30" t="str">
        <f t="shared" si="3"/>
        <v>-</v>
      </c>
      <c r="U52" s="30">
        <f t="shared" si="7"/>
        <v>0</v>
      </c>
      <c r="V52" s="30">
        <f t="shared" si="8"/>
        <v>0</v>
      </c>
      <c r="W52" s="31">
        <f>IFERROR(IF(M52&lt;13.5,(1-(-0.5655+0.005414*'phius_monthly climate data'!$H$2+0.01039*M52))*M52,(1-(-0.5864+0.005668*'phius_monthly climate data'!$H$2+0.01029*M52))*M52),"-")*Q52</f>
        <v>0</v>
      </c>
      <c r="X52" s="30">
        <f t="shared" si="9"/>
        <v>0</v>
      </c>
      <c r="Y52" s="30">
        <f t="shared" si="10"/>
        <v>0</v>
      </c>
      <c r="Z52" s="30">
        <f t="shared" si="11"/>
        <v>0</v>
      </c>
      <c r="AA52" s="31">
        <f>IFERROR(IF(M52&lt;13.5,(1-(-0.5655+0.005414*'phius_monthly climate data'!$H$2+0.01039*M52))*M52,(1-(-0.5864+0.005668*'phius_monthly climate data'!$H$2+0.01029*M52))*M52),"-")*R52</f>
        <v>0</v>
      </c>
      <c r="AB52" s="30">
        <f t="shared" si="12"/>
        <v>0</v>
      </c>
      <c r="AC52" s="30" t="str">
        <f t="shared" si="4"/>
        <v>-</v>
      </c>
      <c r="AD52" s="30" t="str">
        <f t="shared" si="5"/>
        <v>-</v>
      </c>
      <c r="AE52" s="30" t="str">
        <f t="shared" si="6"/>
        <v>-</v>
      </c>
      <c r="AF52" s="32" t="e">
        <f>IFERROR(IF(I52&lt;8.5,(1-(0.1392+-0.00846*'phius_monthly climate data'!$I$2+-0.0001074*'phius_monthly climate data'!$I$2+0.0228*I52))*I52,(1-(0.1041+-0.008862*'phius_monthly climate data'!$I$2+-0.0001153*'phius_monthly climate data'!$I$2+0.02817*I52))*I52),"-")*T52</f>
        <v>#VALUE!</v>
      </c>
    </row>
    <row r="53" spans="2:32" ht="17.399999999999999" x14ac:dyDescent="0.35">
      <c r="B53" s="17"/>
      <c r="C53" s="50"/>
      <c r="D53" s="61"/>
      <c r="E53" s="62"/>
      <c r="F53" s="52"/>
      <c r="G53" s="53"/>
      <c r="H53" s="23" t="s">
        <v>1146</v>
      </c>
      <c r="I53" s="47"/>
      <c r="J53" s="18" t="s">
        <v>1184</v>
      </c>
      <c r="K53" s="62"/>
      <c r="L53" s="52"/>
      <c r="M53" s="53"/>
      <c r="N53" s="23" t="s">
        <v>1146</v>
      </c>
      <c r="O53" s="47"/>
      <c r="P53" s="176"/>
      <c r="Q53" s="29">
        <f t="shared" si="0"/>
        <v>0</v>
      </c>
      <c r="R53" s="30">
        <f t="shared" si="1"/>
        <v>0</v>
      </c>
      <c r="S53" s="30" t="str">
        <f t="shared" si="2"/>
        <v>-</v>
      </c>
      <c r="T53" s="30" t="str">
        <f t="shared" si="3"/>
        <v>-</v>
      </c>
      <c r="U53" s="30">
        <f t="shared" si="7"/>
        <v>0</v>
      </c>
      <c r="V53" s="30">
        <f t="shared" si="8"/>
        <v>0</v>
      </c>
      <c r="W53" s="31">
        <f>IFERROR(IF(M53&lt;13.5,(1-(-0.5655+0.005414*'phius_monthly climate data'!$H$2+0.01039*M53))*M53,(1-(-0.5864+0.005668*'phius_monthly climate data'!$H$2+0.01029*M53))*M53),"-")*Q53</f>
        <v>0</v>
      </c>
      <c r="X53" s="30">
        <f t="shared" si="9"/>
        <v>0</v>
      </c>
      <c r="Y53" s="30">
        <f t="shared" si="10"/>
        <v>0</v>
      </c>
      <c r="Z53" s="30">
        <f t="shared" si="11"/>
        <v>0</v>
      </c>
      <c r="AA53" s="31">
        <f>IFERROR(IF(M53&lt;13.5,(1-(-0.5655+0.005414*'phius_monthly climate data'!$H$2+0.01039*M53))*M53,(1-(-0.5864+0.005668*'phius_monthly climate data'!$H$2+0.01029*M53))*M53),"-")*R53</f>
        <v>0</v>
      </c>
      <c r="AB53" s="30">
        <f t="shared" si="12"/>
        <v>0</v>
      </c>
      <c r="AC53" s="30" t="str">
        <f t="shared" si="4"/>
        <v>-</v>
      </c>
      <c r="AD53" s="30" t="str">
        <f t="shared" si="5"/>
        <v>-</v>
      </c>
      <c r="AE53" s="30" t="str">
        <f t="shared" si="6"/>
        <v>-</v>
      </c>
      <c r="AF53" s="32" t="e">
        <f>IFERROR(IF(I53&lt;8.5,(1-(0.1392+-0.00846*'phius_monthly climate data'!$I$2+-0.0001074*'phius_monthly climate data'!$I$2+0.0228*I53))*I53,(1-(0.1041+-0.008862*'phius_monthly climate data'!$I$2+-0.0001153*'phius_monthly climate data'!$I$2+0.02817*I53))*I53),"-")*T53</f>
        <v>#VALUE!</v>
      </c>
    </row>
    <row r="54" spans="2:32" ht="17.399999999999999" x14ac:dyDescent="0.35">
      <c r="B54" s="17"/>
      <c r="C54" s="50"/>
      <c r="D54" s="61"/>
      <c r="E54" s="62"/>
      <c r="F54" s="52"/>
      <c r="G54" s="53"/>
      <c r="H54" s="23" t="s">
        <v>1146</v>
      </c>
      <c r="I54" s="47"/>
      <c r="J54" s="18" t="s">
        <v>1184</v>
      </c>
      <c r="K54" s="62"/>
      <c r="L54" s="52"/>
      <c r="M54" s="53"/>
      <c r="N54" s="23" t="s">
        <v>1146</v>
      </c>
      <c r="O54" s="47"/>
      <c r="P54" s="176"/>
      <c r="Q54" s="29">
        <f t="shared" si="0"/>
        <v>0</v>
      </c>
      <c r="R54" s="30">
        <f t="shared" si="1"/>
        <v>0</v>
      </c>
      <c r="S54" s="30" t="str">
        <f t="shared" si="2"/>
        <v>-</v>
      </c>
      <c r="T54" s="30" t="str">
        <f t="shared" si="3"/>
        <v>-</v>
      </c>
      <c r="U54" s="30">
        <f t="shared" si="7"/>
        <v>0</v>
      </c>
      <c r="V54" s="30">
        <f t="shared" si="8"/>
        <v>0</v>
      </c>
      <c r="W54" s="31">
        <f>IFERROR(IF(M54&lt;13.5,(1-(-0.5655+0.005414*'phius_monthly climate data'!$H$2+0.01039*M54))*M54,(1-(-0.5864+0.005668*'phius_monthly climate data'!$H$2+0.01029*M54))*M54),"-")*Q54</f>
        <v>0</v>
      </c>
      <c r="X54" s="30">
        <f t="shared" si="9"/>
        <v>0</v>
      </c>
      <c r="Y54" s="30">
        <f t="shared" si="10"/>
        <v>0</v>
      </c>
      <c r="Z54" s="30">
        <f t="shared" si="11"/>
        <v>0</v>
      </c>
      <c r="AA54" s="31">
        <f>IFERROR(IF(M54&lt;13.5,(1-(-0.5655+0.005414*'phius_monthly climate data'!$H$2+0.01039*M54))*M54,(1-(-0.5864+0.005668*'phius_monthly climate data'!$H$2+0.01029*M54))*M54),"-")*R54</f>
        <v>0</v>
      </c>
      <c r="AB54" s="30">
        <f t="shared" si="12"/>
        <v>0</v>
      </c>
      <c r="AC54" s="30" t="str">
        <f t="shared" si="4"/>
        <v>-</v>
      </c>
      <c r="AD54" s="30" t="str">
        <f t="shared" si="5"/>
        <v>-</v>
      </c>
      <c r="AE54" s="30" t="str">
        <f t="shared" si="6"/>
        <v>-</v>
      </c>
      <c r="AF54" s="32" t="e">
        <f>IFERROR(IF(I54&lt;8.5,(1-(0.1392+-0.00846*'phius_monthly climate data'!$I$2+-0.0001074*'phius_monthly climate data'!$I$2+0.0228*I54))*I54,(1-(0.1041+-0.008862*'phius_monthly climate data'!$I$2+-0.0001153*'phius_monthly climate data'!$I$2+0.02817*I54))*I54),"-")*T54</f>
        <v>#VALUE!</v>
      </c>
    </row>
    <row r="55" spans="2:32" ht="17.399999999999999" x14ac:dyDescent="0.35">
      <c r="B55" s="17"/>
      <c r="C55" s="50"/>
      <c r="D55" s="61"/>
      <c r="E55" s="62"/>
      <c r="F55" s="52"/>
      <c r="G55" s="53"/>
      <c r="H55" s="23" t="s">
        <v>1146</v>
      </c>
      <c r="I55" s="47"/>
      <c r="J55" s="18" t="s">
        <v>1184</v>
      </c>
      <c r="K55" s="62"/>
      <c r="L55" s="52"/>
      <c r="M55" s="53"/>
      <c r="N55" s="23" t="s">
        <v>1146</v>
      </c>
      <c r="O55" s="47"/>
      <c r="P55" s="176"/>
      <c r="Q55" s="29">
        <f t="shared" si="0"/>
        <v>0</v>
      </c>
      <c r="R55" s="30">
        <f t="shared" si="1"/>
        <v>0</v>
      </c>
      <c r="S55" s="30" t="str">
        <f t="shared" si="2"/>
        <v>-</v>
      </c>
      <c r="T55" s="30" t="str">
        <f t="shared" si="3"/>
        <v>-</v>
      </c>
      <c r="U55" s="30">
        <f t="shared" si="7"/>
        <v>0</v>
      </c>
      <c r="V55" s="30">
        <f t="shared" si="8"/>
        <v>0</v>
      </c>
      <c r="W55" s="31">
        <f>IFERROR(IF(M55&lt;13.5,(1-(-0.5655+0.005414*'phius_monthly climate data'!$H$2+0.01039*M55))*M55,(1-(-0.5864+0.005668*'phius_monthly climate data'!$H$2+0.01029*M55))*M55),"-")*Q55</f>
        <v>0</v>
      </c>
      <c r="X55" s="30">
        <f t="shared" si="9"/>
        <v>0</v>
      </c>
      <c r="Y55" s="30">
        <f t="shared" si="10"/>
        <v>0</v>
      </c>
      <c r="Z55" s="30">
        <f t="shared" si="11"/>
        <v>0</v>
      </c>
      <c r="AA55" s="31">
        <f>IFERROR(IF(M55&lt;13.5,(1-(-0.5655+0.005414*'phius_monthly climate data'!$H$2+0.01039*M55))*M55,(1-(-0.5864+0.005668*'phius_monthly climate data'!$H$2+0.01029*M55))*M55),"-")*R55</f>
        <v>0</v>
      </c>
      <c r="AB55" s="30">
        <f t="shared" si="12"/>
        <v>0</v>
      </c>
      <c r="AC55" s="30" t="str">
        <f t="shared" si="4"/>
        <v>-</v>
      </c>
      <c r="AD55" s="30" t="str">
        <f t="shared" si="5"/>
        <v>-</v>
      </c>
      <c r="AE55" s="30" t="str">
        <f t="shared" si="6"/>
        <v>-</v>
      </c>
      <c r="AF55" s="32" t="e">
        <f>IFERROR(IF(I55&lt;8.5,(1-(0.1392+-0.00846*'phius_monthly climate data'!$I$2+-0.0001074*'phius_monthly climate data'!$I$2+0.0228*I55))*I55,(1-(0.1041+-0.008862*'phius_monthly climate data'!$I$2+-0.0001153*'phius_monthly climate data'!$I$2+0.02817*I55))*I55),"-")*T55</f>
        <v>#VALUE!</v>
      </c>
    </row>
    <row r="56" spans="2:32" ht="17.399999999999999" x14ac:dyDescent="0.35">
      <c r="B56" s="17"/>
      <c r="C56" s="50"/>
      <c r="D56" s="61"/>
      <c r="E56" s="62"/>
      <c r="F56" s="52"/>
      <c r="G56" s="53"/>
      <c r="H56" s="23" t="s">
        <v>1146</v>
      </c>
      <c r="I56" s="47"/>
      <c r="J56" s="18" t="s">
        <v>1184</v>
      </c>
      <c r="K56" s="62"/>
      <c r="L56" s="52"/>
      <c r="M56" s="53"/>
      <c r="N56" s="23" t="s">
        <v>1146</v>
      </c>
      <c r="O56" s="47"/>
      <c r="P56" s="176"/>
      <c r="Q56" s="29">
        <f t="shared" si="0"/>
        <v>0</v>
      </c>
      <c r="R56" s="30">
        <f t="shared" si="1"/>
        <v>0</v>
      </c>
      <c r="S56" s="30" t="str">
        <f t="shared" si="2"/>
        <v>-</v>
      </c>
      <c r="T56" s="30" t="str">
        <f t="shared" si="3"/>
        <v>-</v>
      </c>
      <c r="U56" s="30">
        <f t="shared" si="7"/>
        <v>0</v>
      </c>
      <c r="V56" s="30">
        <f t="shared" si="8"/>
        <v>0</v>
      </c>
      <c r="W56" s="31">
        <f>IFERROR(IF(M56&lt;13.5,(1-(-0.5655+0.005414*'phius_monthly climate data'!$H$2+0.01039*M56))*M56,(1-(-0.5864+0.005668*'phius_monthly climate data'!$H$2+0.01029*M56))*M56),"-")*Q56</f>
        <v>0</v>
      </c>
      <c r="X56" s="30">
        <f t="shared" si="9"/>
        <v>0</v>
      </c>
      <c r="Y56" s="30">
        <f t="shared" si="10"/>
        <v>0</v>
      </c>
      <c r="Z56" s="30">
        <f t="shared" si="11"/>
        <v>0</v>
      </c>
      <c r="AA56" s="31">
        <f>IFERROR(IF(M56&lt;13.5,(1-(-0.5655+0.005414*'phius_monthly climate data'!$H$2+0.01039*M56))*M56,(1-(-0.5864+0.005668*'phius_monthly climate data'!$H$2+0.01029*M56))*M56),"-")*R56</f>
        <v>0</v>
      </c>
      <c r="AB56" s="30">
        <f t="shared" si="12"/>
        <v>0</v>
      </c>
      <c r="AC56" s="30" t="str">
        <f t="shared" si="4"/>
        <v>-</v>
      </c>
      <c r="AD56" s="30" t="str">
        <f t="shared" si="5"/>
        <v>-</v>
      </c>
      <c r="AE56" s="30" t="str">
        <f t="shared" si="6"/>
        <v>-</v>
      </c>
      <c r="AF56" s="32" t="e">
        <f>IFERROR(IF(I56&lt;8.5,(1-(0.1392+-0.00846*'phius_monthly climate data'!$I$2+-0.0001074*'phius_monthly climate data'!$I$2+0.0228*I56))*I56,(1-(0.1041+-0.008862*'phius_monthly climate data'!$I$2+-0.0001153*'phius_monthly climate data'!$I$2+0.02817*I56))*I56),"-")*T56</f>
        <v>#VALUE!</v>
      </c>
    </row>
    <row r="57" spans="2:32" ht="17.399999999999999" x14ac:dyDescent="0.35">
      <c r="B57" s="17"/>
      <c r="C57" s="50"/>
      <c r="D57" s="61"/>
      <c r="E57" s="62"/>
      <c r="F57" s="52"/>
      <c r="G57" s="53"/>
      <c r="H57" s="23" t="s">
        <v>1146</v>
      </c>
      <c r="I57" s="47"/>
      <c r="J57" s="18" t="s">
        <v>1184</v>
      </c>
      <c r="K57" s="62"/>
      <c r="L57" s="52"/>
      <c r="M57" s="53"/>
      <c r="N57" s="23" t="s">
        <v>1146</v>
      </c>
      <c r="O57" s="47"/>
      <c r="P57" s="176"/>
      <c r="Q57" s="29">
        <f t="shared" si="0"/>
        <v>0</v>
      </c>
      <c r="R57" s="30">
        <f t="shared" si="1"/>
        <v>0</v>
      </c>
      <c r="S57" s="30" t="str">
        <f t="shared" si="2"/>
        <v>-</v>
      </c>
      <c r="T57" s="30" t="str">
        <f t="shared" si="3"/>
        <v>-</v>
      </c>
      <c r="U57" s="30">
        <f t="shared" si="7"/>
        <v>0</v>
      </c>
      <c r="V57" s="30">
        <f t="shared" si="8"/>
        <v>0</v>
      </c>
      <c r="W57" s="31">
        <f>IFERROR(IF(M57&lt;13.5,(1-(-0.5655+0.005414*'phius_monthly climate data'!$H$2+0.01039*M57))*M57,(1-(-0.5864+0.005668*'phius_monthly climate data'!$H$2+0.01029*M57))*M57),"-")*Q57</f>
        <v>0</v>
      </c>
      <c r="X57" s="30">
        <f t="shared" si="9"/>
        <v>0</v>
      </c>
      <c r="Y57" s="30">
        <f t="shared" si="10"/>
        <v>0</v>
      </c>
      <c r="Z57" s="30">
        <f t="shared" si="11"/>
        <v>0</v>
      </c>
      <c r="AA57" s="31">
        <f>IFERROR(IF(M57&lt;13.5,(1-(-0.5655+0.005414*'phius_monthly climate data'!$H$2+0.01039*M57))*M57,(1-(-0.5864+0.005668*'phius_monthly climate data'!$H$2+0.01029*M57))*M57),"-")*R57</f>
        <v>0</v>
      </c>
      <c r="AB57" s="30">
        <f t="shared" si="12"/>
        <v>0</v>
      </c>
      <c r="AC57" s="30" t="str">
        <f t="shared" si="4"/>
        <v>-</v>
      </c>
      <c r="AD57" s="30" t="str">
        <f t="shared" si="5"/>
        <v>-</v>
      </c>
      <c r="AE57" s="30" t="str">
        <f t="shared" si="6"/>
        <v>-</v>
      </c>
      <c r="AF57" s="32" t="e">
        <f>IFERROR(IF(I57&lt;8.5,(1-(0.1392+-0.00846*'phius_monthly climate data'!$I$2+-0.0001074*'phius_monthly climate data'!$I$2+0.0228*I57))*I57,(1-(0.1041+-0.008862*'phius_monthly climate data'!$I$2+-0.0001153*'phius_monthly climate data'!$I$2+0.02817*I57))*I57),"-")*T57</f>
        <v>#VALUE!</v>
      </c>
    </row>
    <row r="58" spans="2:32" ht="18" thickBot="1" x14ac:dyDescent="0.4">
      <c r="B58" s="14"/>
      <c r="C58" s="51"/>
      <c r="D58" s="63"/>
      <c r="E58" s="64"/>
      <c r="F58" s="57"/>
      <c r="G58" s="58"/>
      <c r="H58" s="24" t="s">
        <v>1146</v>
      </c>
      <c r="I58" s="48"/>
      <c r="J58" s="19" t="s">
        <v>1184</v>
      </c>
      <c r="K58" s="64"/>
      <c r="L58" s="57"/>
      <c r="M58" s="58"/>
      <c r="N58" s="24" t="s">
        <v>1146</v>
      </c>
      <c r="O58" s="48"/>
      <c r="P58" s="176"/>
      <c r="Q58" s="33">
        <f t="shared" si="0"/>
        <v>0</v>
      </c>
      <c r="R58" s="34">
        <f t="shared" si="1"/>
        <v>0</v>
      </c>
      <c r="S58" s="34" t="str">
        <f t="shared" si="2"/>
        <v>-</v>
      </c>
      <c r="T58" s="34" t="str">
        <f t="shared" si="3"/>
        <v>-</v>
      </c>
      <c r="U58" s="34">
        <f t="shared" si="7"/>
        <v>0</v>
      </c>
      <c r="V58" s="34">
        <f t="shared" si="8"/>
        <v>0</v>
      </c>
      <c r="W58" s="35">
        <f>IFERROR(IF(M58&lt;13.5,(1-(-0.5655+0.005414*'phius_monthly climate data'!$H$2+0.01039*M58))*M58,(1-(-0.5864+0.005668*'phius_monthly climate data'!$H$2+0.01029*M58))*M58),"-")*Q58</f>
        <v>0</v>
      </c>
      <c r="X58" s="34">
        <f t="shared" si="9"/>
        <v>0</v>
      </c>
      <c r="Y58" s="34">
        <f t="shared" si="10"/>
        <v>0</v>
      </c>
      <c r="Z58" s="34">
        <f t="shared" si="11"/>
        <v>0</v>
      </c>
      <c r="AA58" s="35">
        <f>IFERROR(IF(M58&lt;13.5,(1-(-0.5655+0.005414*'phius_monthly climate data'!$H$2+0.01039*M58))*M58,(1-(-0.5864+0.005668*'phius_monthly climate data'!$H$2+0.01029*M58))*M58),"-")*R58</f>
        <v>0</v>
      </c>
      <c r="AB58" s="34">
        <f t="shared" si="12"/>
        <v>0</v>
      </c>
      <c r="AC58" s="34" t="str">
        <f t="shared" si="4"/>
        <v>-</v>
      </c>
      <c r="AD58" s="34" t="str">
        <f t="shared" si="5"/>
        <v>-</v>
      </c>
      <c r="AE58" s="34" t="str">
        <f t="shared" si="6"/>
        <v>-</v>
      </c>
      <c r="AF58" s="36" t="e">
        <f>IFERROR(IF(I58&lt;8.5,(1-(0.1392+-0.00846*'phius_monthly climate data'!$I$2+-0.0001074*'phius_monthly climate data'!$I$2+0.0228*I58))*I58,(1-(0.1041+-0.008862*'phius_monthly climate data'!$I$2+-0.0001153*'phius_monthly climate data'!$I$2+0.02817*I58))*I58),"-")*T58</f>
        <v>#VALUE!</v>
      </c>
    </row>
  </sheetData>
  <sheetProtection sheet="1" objects="1" scenarios="1"/>
  <mergeCells count="54">
    <mergeCell ref="M3:O3"/>
    <mergeCell ref="B4:O4"/>
    <mergeCell ref="B10:O10"/>
    <mergeCell ref="E2:I2"/>
    <mergeCell ref="J3:L3"/>
    <mergeCell ref="Q29:AF29"/>
    <mergeCell ref="B29:C29"/>
    <mergeCell ref="E3:I3"/>
    <mergeCell ref="B28:O28"/>
    <mergeCell ref="B11:O11"/>
    <mergeCell ref="Q28:AF28"/>
    <mergeCell ref="B16:C16"/>
    <mergeCell ref="E6:O9"/>
    <mergeCell ref="B5:O5"/>
    <mergeCell ref="B2:D3"/>
    <mergeCell ref="B12:C12"/>
    <mergeCell ref="E22:O22"/>
    <mergeCell ref="E17:O17"/>
    <mergeCell ref="J2:L2"/>
    <mergeCell ref="M2:O2"/>
    <mergeCell ref="E13:O13"/>
    <mergeCell ref="E12:O12"/>
    <mergeCell ref="E14:O14"/>
    <mergeCell ref="E15:O15"/>
    <mergeCell ref="Q30:AF30"/>
    <mergeCell ref="E20:O20"/>
    <mergeCell ref="E19:O19"/>
    <mergeCell ref="E18:O18"/>
    <mergeCell ref="E16:O16"/>
    <mergeCell ref="E21:O21"/>
    <mergeCell ref="B27:O27"/>
    <mergeCell ref="P28:P58"/>
    <mergeCell ref="AE31:AE32"/>
    <mergeCell ref="Q31:T31"/>
    <mergeCell ref="AC31:AD31"/>
    <mergeCell ref="U31:X31"/>
    <mergeCell ref="AF31:AF32"/>
    <mergeCell ref="Y31:AB31"/>
    <mergeCell ref="B30:B32"/>
    <mergeCell ref="C30:C32"/>
    <mergeCell ref="H31:H32"/>
    <mergeCell ref="J31:J32"/>
    <mergeCell ref="B22:C22"/>
    <mergeCell ref="D30:I30"/>
    <mergeCell ref="D31:E31"/>
    <mergeCell ref="F31:G31"/>
    <mergeCell ref="J30:O30"/>
    <mergeCell ref="D29:O29"/>
    <mergeCell ref="L31:L32"/>
    <mergeCell ref="M31:M32"/>
    <mergeCell ref="O31:O32"/>
    <mergeCell ref="I31:I32"/>
    <mergeCell ref="N31:N32"/>
    <mergeCell ref="E23:O26"/>
  </mergeCells>
  <conditionalFormatting sqref="C8:D9">
    <cfRule type="expression" dxfId="13" priority="16">
      <formula>$B$7="Typical"</formula>
    </cfRule>
  </conditionalFormatting>
  <conditionalFormatting sqref="F33:F58">
    <cfRule type="expression" dxfId="12" priority="4">
      <formula>ISBLANK(I33)</formula>
    </cfRule>
  </conditionalFormatting>
  <conditionalFormatting sqref="G33:G58">
    <cfRule type="expression" dxfId="11" priority="3">
      <formula>ISBLANK(I33)</formula>
    </cfRule>
  </conditionalFormatting>
  <conditionalFormatting sqref="I33:I58">
    <cfRule type="expression" dxfId="10" priority="12">
      <formula>AND(ISBLANK(F33),ISBLANK(G33))</formula>
    </cfRule>
  </conditionalFormatting>
  <conditionalFormatting sqref="L33:L58">
    <cfRule type="expression" dxfId="9" priority="2">
      <formula>ISBLANK(O33)</formula>
    </cfRule>
  </conditionalFormatting>
  <conditionalFormatting sqref="M33:M58">
    <cfRule type="expression" dxfId="8" priority="1">
      <formula>ISBLANK(O33)</formula>
    </cfRule>
  </conditionalFormatting>
  <conditionalFormatting sqref="O33:O58">
    <cfRule type="expression" dxfId="7" priority="13">
      <formula>AND(ISBLANK(L33),ISBLANK(M33))</formula>
    </cfRule>
  </conditionalFormatting>
  <dataValidations count="4">
    <dataValidation type="list" allowBlank="1" showInputMessage="1" sqref="C7" xr:uid="{2E7D82FB-FBE3-4992-8A73-6918D5EC2F8F}">
      <formula1>"USA, Canada"</formula1>
    </dataValidation>
    <dataValidation type="list" allowBlank="1" showInputMessage="1" showErrorMessage="1" sqref="J33:J58" xr:uid="{88C7F753-3B73-4423-8DD8-54A2CB111952}">
      <formula1>"Recirculation Air, Ventilation Air, Select"</formula1>
    </dataValidation>
    <dataValidation type="decimal" allowBlank="1" showInputMessage="1" showErrorMessage="1" sqref="C9:D9" xr:uid="{27BC0B4B-910D-4D6F-B655-3D3277B5B564}">
      <formula1>-20</formula1>
      <formula2>120</formula2>
    </dataValidation>
    <dataValidation type="list" allowBlank="1" showInputMessage="1" showErrorMessage="1" sqref="B7" xr:uid="{C66E12B9-9CF0-4EB9-AD24-23C81CDCBD49}">
      <formula1>"Typical, Custom"</formula1>
    </dataValidation>
  </dataValidations>
  <pageMargins left="0.7" right="0.7" top="0.75" bottom="0.75" header="0.3" footer="0.3"/>
  <pageSetup orientation="portrait" horizontalDpi="4294967293" verticalDpi="4294967293" r:id="rId1"/>
  <extLst>
    <ext xmlns:x14="http://schemas.microsoft.com/office/spreadsheetml/2009/9/main" uri="{CCE6A557-97BC-4b89-ADB6-D9C93CAAB3DF}">
      <x14:dataValidations xmlns:xm="http://schemas.microsoft.com/office/excel/2006/main" count="2">
        <x14:dataValidation type="list" allowBlank="1" showInputMessage="1" xr:uid="{DF98D8E8-9579-4727-9BE3-4D7FE7F8FDCC}">
          <x14:formula1>
            <xm:f>'phius_monthly climate data'!$I$4:$I$74</xm:f>
          </x14:formula1>
          <xm:sqref>B9</xm:sqref>
        </x14:dataValidation>
        <x14:dataValidation type="list" allowBlank="1" showInputMessage="1" xr:uid="{260D4ADD-B83F-466B-8059-720E253C42D7}">
          <x14:formula1>
            <xm:f>'phius_monthly climate data'!$H$4:$H$59</xm:f>
          </x14:formula1>
          <xm:sqref>D7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2BF17-5D3F-46E6-B796-133952985BB9}">
  <dimension ref="A1:AJ123"/>
  <sheetViews>
    <sheetView zoomScale="70" zoomScaleNormal="70" workbookViewId="0">
      <selection activeCell="L140" sqref="L140"/>
    </sheetView>
  </sheetViews>
  <sheetFormatPr defaultColWidth="8.88671875" defaultRowHeight="15.6" x14ac:dyDescent="0.35"/>
  <cols>
    <col min="1" max="1" width="2.6640625" style="3" customWidth="1"/>
    <col min="2" max="2" width="50.6640625" style="4" customWidth="1"/>
    <col min="3" max="7" width="16.77734375" style="4" customWidth="1"/>
    <col min="8" max="8" width="3.77734375" style="4" customWidth="1"/>
    <col min="9" max="9" width="16.77734375" style="4" customWidth="1"/>
    <col min="10" max="11" width="20.77734375" style="4" customWidth="1"/>
    <col min="12" max="13" width="16.77734375" style="4" customWidth="1"/>
    <col min="14" max="14" width="3.77734375" style="4" customWidth="1"/>
    <col min="15" max="15" width="16.77734375" style="4" customWidth="1"/>
    <col min="16" max="16" width="3.77734375" style="4" customWidth="1"/>
    <col min="17" max="17" width="7.21875" style="1" bestFit="1" customWidth="1"/>
    <col min="18" max="18" width="5.77734375" style="1" bestFit="1" customWidth="1"/>
    <col min="19" max="20" width="4.88671875" style="1" bestFit="1" customWidth="1"/>
    <col min="21" max="22" width="6" style="1" bestFit="1" customWidth="1"/>
    <col min="23" max="23" width="14.77734375" style="1" bestFit="1" customWidth="1"/>
    <col min="24" max="24" width="5.33203125" style="1" bestFit="1" customWidth="1"/>
    <col min="25" max="26" width="6" style="1" bestFit="1" customWidth="1"/>
    <col min="27" max="27" width="14.77734375" style="1" bestFit="1" customWidth="1"/>
    <col min="28" max="28" width="5.33203125" style="1" bestFit="1" customWidth="1"/>
    <col min="29" max="29" width="4.88671875" style="1" bestFit="1" customWidth="1"/>
    <col min="30" max="30" width="4.88671875" style="3" bestFit="1" customWidth="1"/>
    <col min="31" max="31" width="6.21875" style="3" bestFit="1" customWidth="1"/>
    <col min="32" max="32" width="15" style="3" bestFit="1" customWidth="1"/>
    <col min="33" max="33" width="12.44140625" style="3" customWidth="1"/>
    <col min="34" max="16384" width="8.88671875" style="3"/>
  </cols>
  <sheetData>
    <row r="1" spans="1:29" ht="18" thickBot="1" x14ac:dyDescent="0.4">
      <c r="B1" s="46" t="s">
        <v>1151</v>
      </c>
    </row>
    <row r="2" spans="1:29" ht="19.95" customHeight="1" x14ac:dyDescent="0.35">
      <c r="B2" s="179" t="s">
        <v>1183</v>
      </c>
      <c r="C2" s="180"/>
      <c r="D2" s="197"/>
      <c r="E2" s="199" t="s">
        <v>1182</v>
      </c>
      <c r="F2" s="195"/>
      <c r="G2" s="195"/>
      <c r="H2" s="195"/>
      <c r="I2" s="195"/>
      <c r="J2" s="186" t="s">
        <v>1179</v>
      </c>
      <c r="K2" s="186"/>
      <c r="L2" s="187" t="s">
        <v>1177</v>
      </c>
      <c r="M2" s="187"/>
      <c r="N2" s="187"/>
      <c r="O2" s="188"/>
    </row>
    <row r="3" spans="1:29" ht="19.95" customHeight="1" thickBot="1" x14ac:dyDescent="0.4">
      <c r="B3" s="181"/>
      <c r="C3" s="182"/>
      <c r="D3" s="198"/>
      <c r="E3" s="200" t="s">
        <v>1181</v>
      </c>
      <c r="F3" s="178"/>
      <c r="G3" s="178"/>
      <c r="H3" s="178"/>
      <c r="I3" s="178"/>
      <c r="J3" s="196" t="s">
        <v>1180</v>
      </c>
      <c r="K3" s="196"/>
      <c r="L3" s="189" t="s">
        <v>1178</v>
      </c>
      <c r="M3" s="189"/>
      <c r="N3" s="189"/>
      <c r="O3" s="190"/>
    </row>
    <row r="4" spans="1:29" x14ac:dyDescent="0.35">
      <c r="B4" s="41"/>
    </row>
    <row r="5" spans="1:29" ht="30" customHeight="1" thickBot="1" x14ac:dyDescent="0.4">
      <c r="B5" s="91" t="s">
        <v>1133</v>
      </c>
      <c r="C5" s="92"/>
      <c r="D5" s="92"/>
      <c r="E5" s="92"/>
      <c r="F5" s="92"/>
      <c r="G5" s="92"/>
      <c r="H5" s="92"/>
      <c r="I5" s="92"/>
      <c r="J5" s="92"/>
      <c r="K5" s="92"/>
      <c r="L5" s="92"/>
      <c r="M5" s="92"/>
      <c r="N5" s="92"/>
      <c r="O5" s="92"/>
    </row>
    <row r="6" spans="1:29" ht="34.950000000000003" customHeight="1" x14ac:dyDescent="0.35">
      <c r="B6" s="38" t="s">
        <v>1170</v>
      </c>
      <c r="C6" s="25" t="s">
        <v>0</v>
      </c>
      <c r="D6" s="37" t="str">
        <f>IF(C7="USA","State",IF(C7="Select","State","Province"))</f>
        <v>State</v>
      </c>
      <c r="E6" s="201" t="str">
        <f>IF(B7="Custom","Input the design temperature from the custom criteria calculator that accomanied the custom climate data from Phius. Contact Us if no calculator was provided or if this data is missing. https://www.phius.org/help", "Align climate data selected with data used in WUFI Passive. Review section 6.1.2 of the Phius Certification Guidebook. https://www.phius.org/phius-certification-guidebook")</f>
        <v>Align climate data selected with data used in WUFI Passive. Review section 6.1.2 of the Phius Certification Guidebook. https://www.phius.org/phius-certification-guidebook</v>
      </c>
      <c r="F6" s="202"/>
      <c r="G6" s="202"/>
      <c r="H6" s="202"/>
      <c r="I6" s="202"/>
      <c r="J6" s="202"/>
      <c r="K6" s="202"/>
      <c r="L6" s="202"/>
      <c r="M6" s="202"/>
      <c r="N6" s="202"/>
      <c r="O6" s="203"/>
      <c r="P6" s="1"/>
      <c r="Y6" s="3"/>
    </row>
    <row r="7" spans="1:29" ht="19.95" customHeight="1" x14ac:dyDescent="0.35">
      <c r="B7" s="5" t="s">
        <v>1171</v>
      </c>
      <c r="C7" s="6" t="s">
        <v>77</v>
      </c>
      <c r="D7" s="6" t="s">
        <v>28</v>
      </c>
      <c r="E7" s="204"/>
      <c r="F7" s="205"/>
      <c r="G7" s="205"/>
      <c r="H7" s="205"/>
      <c r="I7" s="205"/>
      <c r="J7" s="205"/>
      <c r="K7" s="205"/>
      <c r="L7" s="205"/>
      <c r="M7" s="205"/>
      <c r="N7" s="205"/>
      <c r="O7" s="206"/>
      <c r="P7" s="1"/>
      <c r="Y7" s="3"/>
    </row>
    <row r="8" spans="1:29" ht="34.950000000000003" customHeight="1" x14ac:dyDescent="0.35">
      <c r="B8" s="39" t="str">
        <f>IF(B7="Typical", "Phius Climate Location", "Custom Climate Location")</f>
        <v>Phius Climate Location</v>
      </c>
      <c r="C8" s="40" t="str">
        <f>IF(B7="Typical","", "99% Dry Bulb Temp. [°F]")</f>
        <v/>
      </c>
      <c r="D8" s="40" t="str">
        <f>IF(B7="Typical", "", "1% Dry Bulb Temp. [°F]")</f>
        <v/>
      </c>
      <c r="E8" s="204"/>
      <c r="F8" s="205"/>
      <c r="G8" s="205"/>
      <c r="H8" s="205"/>
      <c r="I8" s="205"/>
      <c r="J8" s="205"/>
      <c r="K8" s="205"/>
      <c r="L8" s="205"/>
      <c r="M8" s="205"/>
      <c r="N8" s="205"/>
      <c r="O8" s="206"/>
      <c r="P8" s="1"/>
      <c r="Y8" s="3"/>
    </row>
    <row r="9" spans="1:29" ht="19.95" customHeight="1" thickBot="1" x14ac:dyDescent="0.4">
      <c r="B9" s="7" t="s">
        <v>538</v>
      </c>
      <c r="C9" s="8"/>
      <c r="D9" s="8"/>
      <c r="E9" s="207"/>
      <c r="F9" s="208"/>
      <c r="G9" s="208"/>
      <c r="H9" s="208"/>
      <c r="I9" s="208"/>
      <c r="J9" s="208"/>
      <c r="K9" s="208"/>
      <c r="L9" s="208"/>
      <c r="M9" s="208"/>
      <c r="N9" s="208"/>
      <c r="O9" s="209"/>
      <c r="Y9" s="3"/>
    </row>
    <row r="10" spans="1:29" x14ac:dyDescent="0.35">
      <c r="A10" s="4"/>
      <c r="Y10" s="3"/>
    </row>
    <row r="11" spans="1:29" ht="30" customHeight="1" thickBot="1" x14ac:dyDescent="0.4">
      <c r="A11" s="4"/>
      <c r="B11" s="91" t="str">
        <f>IF(C23="-","Enter 'System Performance Data' below to attain Results for WUFI Passive.","Results for WUFI Passive")</f>
        <v>Results for WUFI Passive</v>
      </c>
      <c r="C11" s="92"/>
      <c r="D11" s="92"/>
      <c r="E11" s="92"/>
      <c r="F11" s="92"/>
      <c r="G11" s="92"/>
      <c r="H11" s="92"/>
      <c r="I11" s="92"/>
      <c r="J11" s="92"/>
      <c r="K11" s="92"/>
      <c r="L11" s="92"/>
      <c r="M11" s="92"/>
      <c r="N11" s="92"/>
      <c r="O11" s="92"/>
      <c r="Y11" s="3"/>
    </row>
    <row r="12" spans="1:29" ht="25.05" customHeight="1" x14ac:dyDescent="0.35">
      <c r="B12" s="149" t="s">
        <v>1161</v>
      </c>
      <c r="C12" s="150"/>
      <c r="D12" s="70" t="s">
        <v>1169</v>
      </c>
      <c r="E12" s="134" t="str">
        <f>IF(C13="-","If no cooling via Ventilation Air, no inputs required.","System &gt; Distribution &gt; Cooling: Check the box for 'Cooling via ventilation air'.")</f>
        <v>If no cooling via Ventilation Air, no inputs required.</v>
      </c>
      <c r="F12" s="135"/>
      <c r="G12" s="135"/>
      <c r="H12" s="135"/>
      <c r="I12" s="135"/>
      <c r="J12" s="135"/>
      <c r="K12" s="135"/>
      <c r="L12" s="135"/>
      <c r="M12" s="135"/>
      <c r="N12" s="135"/>
      <c r="O12" s="136"/>
      <c r="P12" s="3"/>
      <c r="S12" s="3"/>
      <c r="Z12" s="3"/>
      <c r="AA12" s="3"/>
      <c r="AB12" s="3"/>
      <c r="AC12" s="3"/>
    </row>
    <row r="13" spans="1:29" ht="34.950000000000003" customHeight="1" x14ac:dyDescent="0.35">
      <c r="B13" s="9" t="s">
        <v>1159</v>
      </c>
      <c r="C13" s="65" t="s">
        <v>1145</v>
      </c>
      <c r="D13" s="71"/>
      <c r="E13" s="143" t="str">
        <f>IF(C13="-","-","Under Systems &gt; Create the number of systems noted to the left and add a heat pump device to each system.")</f>
        <v>-</v>
      </c>
      <c r="F13" s="144"/>
      <c r="G13" s="144"/>
      <c r="H13" s="144"/>
      <c r="I13" s="144"/>
      <c r="J13" s="144"/>
      <c r="K13" s="144"/>
      <c r="L13" s="144"/>
      <c r="M13" s="144"/>
      <c r="N13" s="144"/>
      <c r="O13" s="145"/>
      <c r="P13" s="3"/>
      <c r="S13" s="3"/>
      <c r="Z13" s="3"/>
      <c r="AA13" s="3"/>
      <c r="AB13" s="3"/>
      <c r="AC13" s="3"/>
    </row>
    <row r="14" spans="1:29" ht="34.950000000000003" customHeight="1" x14ac:dyDescent="0.35">
      <c r="B14" s="9" t="str">
        <f>IF(OR(C13=1,C13="-"),"Supply Air Cooling Capacity","Supply Air Cooling Capacity / system")</f>
        <v>Supply Air Cooling Capacity</v>
      </c>
      <c r="C14" s="65" t="s">
        <v>1145</v>
      </c>
      <c r="D14" s="72" t="s">
        <v>1164</v>
      </c>
      <c r="E14" s="143" t="str">
        <f>IF(C13="-","-",IF(C13=1,"Input the cooling capacity calculated to the left. A ton of cooling is equivalent to 12 kBtu/hr.","Input the cooling capacity calculated to the left per system. A ton of cooling is equivalent to 12 kBtu/hr."))</f>
        <v>-</v>
      </c>
      <c r="F14" s="144"/>
      <c r="G14" s="144"/>
      <c r="H14" s="144"/>
      <c r="I14" s="144"/>
      <c r="J14" s="144"/>
      <c r="K14" s="144"/>
      <c r="L14" s="144"/>
      <c r="M14" s="144"/>
      <c r="N14" s="144"/>
      <c r="O14" s="145"/>
      <c r="P14" s="3"/>
      <c r="S14" s="3"/>
      <c r="Z14" s="3"/>
      <c r="AA14" s="3"/>
      <c r="AB14" s="3"/>
      <c r="AC14" s="3"/>
    </row>
    <row r="15" spans="1:29" ht="34.950000000000003" customHeight="1" thickBot="1" x14ac:dyDescent="0.4">
      <c r="B15" s="10" t="str">
        <f>IF(OR(C13=1,C13="-"),"Supply Air Cooling COP", "Supply Air Cooling COP / system")</f>
        <v>Supply Air Cooling COP</v>
      </c>
      <c r="C15" s="66" t="s">
        <v>1145</v>
      </c>
      <c r="D15" s="73"/>
      <c r="E15" s="146" t="str">
        <f>IF(C13="-","-","The value calculated to the left is the weighted average COP for the cooling system as a whole.")</f>
        <v>-</v>
      </c>
      <c r="F15" s="147"/>
      <c r="G15" s="147"/>
      <c r="H15" s="147"/>
      <c r="I15" s="147"/>
      <c r="J15" s="147"/>
      <c r="K15" s="147"/>
      <c r="L15" s="147"/>
      <c r="M15" s="147"/>
      <c r="N15" s="147"/>
      <c r="O15" s="148"/>
      <c r="P15" s="3"/>
      <c r="S15" s="3"/>
      <c r="Z15" s="3"/>
      <c r="AA15" s="3"/>
      <c r="AB15" s="3"/>
      <c r="AC15" s="3"/>
    </row>
    <row r="16" spans="1:29" ht="25.05" customHeight="1" x14ac:dyDescent="0.35">
      <c r="B16" s="149" t="s">
        <v>1160</v>
      </c>
      <c r="C16" s="150"/>
      <c r="D16" s="70" t="s">
        <v>1169</v>
      </c>
      <c r="E16" s="134" t="str">
        <f>IF(C17="-","If no cooling via Recirculation Air, no inputs required.","System &gt; Distribution &gt; Cooling: Check the box for 'Cooling via air recirculation'.")</f>
        <v>System &gt; Distribution &gt; Cooling: Check the box for 'Cooling via air recirculation'.</v>
      </c>
      <c r="F16" s="135"/>
      <c r="G16" s="135"/>
      <c r="H16" s="135"/>
      <c r="I16" s="135"/>
      <c r="J16" s="135"/>
      <c r="K16" s="135"/>
      <c r="L16" s="135"/>
      <c r="M16" s="135"/>
      <c r="N16" s="135"/>
      <c r="O16" s="136"/>
      <c r="P16" s="3"/>
      <c r="Q16" s="42"/>
      <c r="R16" s="42"/>
      <c r="S16" s="3"/>
      <c r="T16" s="42"/>
      <c r="U16" s="42"/>
      <c r="V16" s="42"/>
      <c r="W16" s="42"/>
      <c r="X16" s="42"/>
      <c r="Y16" s="42"/>
      <c r="Z16" s="3"/>
      <c r="AA16" s="3"/>
      <c r="AB16" s="3"/>
      <c r="AC16" s="3"/>
    </row>
    <row r="17" spans="2:36" ht="34.950000000000003" customHeight="1" x14ac:dyDescent="0.35">
      <c r="B17" s="9" t="s">
        <v>1159</v>
      </c>
      <c r="C17" s="65">
        <v>6</v>
      </c>
      <c r="D17" s="74"/>
      <c r="E17" s="143" t="str">
        <f>IF(C17="-","-","Under Systems &gt; Create the number of systems noted to the left and add a heat pump device to each system.")</f>
        <v>Under Systems &gt; Create the number of systems noted to the left and add a heat pump device to each system.</v>
      </c>
      <c r="F17" s="144"/>
      <c r="G17" s="144"/>
      <c r="H17" s="144"/>
      <c r="I17" s="144"/>
      <c r="J17" s="144"/>
      <c r="K17" s="144"/>
      <c r="L17" s="144"/>
      <c r="M17" s="144"/>
      <c r="N17" s="144"/>
      <c r="O17" s="145"/>
      <c r="P17" s="3"/>
      <c r="Q17" s="42"/>
      <c r="R17" s="42"/>
      <c r="S17" s="3"/>
      <c r="T17" s="42"/>
      <c r="U17" s="42"/>
      <c r="V17" s="42"/>
      <c r="W17" s="42"/>
      <c r="X17" s="42"/>
      <c r="Y17" s="42"/>
      <c r="Z17" s="3"/>
      <c r="AA17" s="3"/>
      <c r="AB17" s="3"/>
      <c r="AC17" s="3"/>
    </row>
    <row r="18" spans="2:36" ht="34.950000000000003" customHeight="1" x14ac:dyDescent="0.35">
      <c r="B18" s="9" t="str">
        <f>IF(OR(C17=1,C17="-"),"Space Cooling Coverage","Space Cooling Coverage / system")</f>
        <v>Space Cooling Coverage / system</v>
      </c>
      <c r="C18" s="67">
        <v>0.17</v>
      </c>
      <c r="D18" s="74"/>
      <c r="E18" s="143" t="str">
        <f>IF(C18="-","-","Assign coverage to each new device created. If coverage is 0.33 (or similar), one input should be adjusted so the coverage sums to 1.")</f>
        <v>Assign coverage to each new device created. If coverage is 0.33 (or similar), one input should be adjusted so the coverage sums to 1.</v>
      </c>
      <c r="F18" s="144"/>
      <c r="G18" s="144"/>
      <c r="H18" s="144"/>
      <c r="I18" s="144"/>
      <c r="J18" s="144"/>
      <c r="K18" s="144"/>
      <c r="L18" s="144"/>
      <c r="M18" s="144"/>
      <c r="N18" s="144"/>
      <c r="O18" s="145"/>
      <c r="P18" s="3"/>
      <c r="Q18" s="42"/>
      <c r="R18" s="42"/>
      <c r="S18" s="42"/>
      <c r="T18" s="42"/>
      <c r="U18" s="42"/>
      <c r="V18" s="42"/>
      <c r="W18" s="42"/>
      <c r="X18" s="42"/>
      <c r="Y18" s="42"/>
      <c r="Z18" s="3"/>
      <c r="AA18" s="3"/>
      <c r="AB18" s="3"/>
      <c r="AC18" s="3"/>
    </row>
    <row r="19" spans="2:36" ht="34.950000000000003" customHeight="1" x14ac:dyDescent="0.35">
      <c r="B19" s="9" t="str">
        <f>IF(OR(C17=1,C17="-"),"Recirculation Air Flow Rate", "Recirculation Air Flow Rate / system")</f>
        <v>Recirculation Air Flow Rate / system</v>
      </c>
      <c r="C19" s="68">
        <v>15200</v>
      </c>
      <c r="D19" s="72" t="s">
        <v>1165</v>
      </c>
      <c r="E19" s="143" t="str">
        <f>IF(C18="-","-",IF(C18=1,"Phius assumes 300 cfm of airflow per ton of cooling capacity.","Input the airflow calculated to the left per system. Phius assumes 300 cfm of airflow per ton of cooling capacity."))</f>
        <v>Input the airflow calculated to the left per system. Phius assumes 300 cfm of airflow per ton of cooling capacity.</v>
      </c>
      <c r="F19" s="144"/>
      <c r="G19" s="144"/>
      <c r="H19" s="144"/>
      <c r="I19" s="144"/>
      <c r="J19" s="144"/>
      <c r="K19" s="144"/>
      <c r="L19" s="144"/>
      <c r="M19" s="144"/>
      <c r="N19" s="144"/>
      <c r="O19" s="145"/>
      <c r="P19" s="3"/>
      <c r="Q19" s="42"/>
      <c r="R19" s="42"/>
      <c r="S19" s="42"/>
      <c r="T19" s="42"/>
      <c r="U19" s="42"/>
      <c r="V19" s="42"/>
      <c r="W19" s="42"/>
      <c r="X19" s="42"/>
      <c r="Y19" s="42"/>
      <c r="Z19" s="3"/>
      <c r="AA19" s="3"/>
      <c r="AB19" s="3"/>
      <c r="AC19" s="3"/>
    </row>
    <row r="20" spans="2:36" ht="34.950000000000003" customHeight="1" x14ac:dyDescent="0.35">
      <c r="B20" s="9" t="str">
        <f>IF(OR(C17=1,C17="-"),"Recirculation Air Cooling Capacity","Recirculation Air Cooling Capacity / system")</f>
        <v>Recirculation Air Cooling Capacity / system</v>
      </c>
      <c r="C20" s="65">
        <v>608</v>
      </c>
      <c r="D20" s="72" t="s">
        <v>1164</v>
      </c>
      <c r="E20" s="143" t="str">
        <f>IF(C18="-","-",IF(C18=1,"Input the cooling capacity calculated to the left. A ton of cooling is equivalent to 12 kBtu/hr.","Input the cooling capacity calculated to the left per system. A ton of cooling is equivalent to 12 kBtu/hr."))</f>
        <v>Input the cooling capacity calculated to the left per system. A ton of cooling is equivalent to 12 kBtu/hr.</v>
      </c>
      <c r="F20" s="144"/>
      <c r="G20" s="144"/>
      <c r="H20" s="144"/>
      <c r="I20" s="144"/>
      <c r="J20" s="144"/>
      <c r="K20" s="144"/>
      <c r="L20" s="144"/>
      <c r="M20" s="144"/>
      <c r="N20" s="144"/>
      <c r="O20" s="145"/>
      <c r="P20" s="3"/>
      <c r="Q20" s="42"/>
      <c r="R20" s="42"/>
      <c r="S20" s="42"/>
      <c r="T20" s="42"/>
      <c r="U20" s="42"/>
      <c r="V20" s="42"/>
      <c r="W20" s="42"/>
      <c r="X20" s="42"/>
      <c r="Y20" s="42"/>
      <c r="Z20" s="3"/>
      <c r="AA20" s="3"/>
      <c r="AB20" s="3"/>
      <c r="AC20" s="3"/>
      <c r="AJ20" s="43"/>
    </row>
    <row r="21" spans="2:36" ht="34.950000000000003" customHeight="1" thickBot="1" x14ac:dyDescent="0.4">
      <c r="B21" s="11" t="str">
        <f>IF(OR(C17=1,C17="-"),"Recirculation Cooling COP", "Recirculation Cooling COP / system")</f>
        <v>Recirculation Cooling COP / system</v>
      </c>
      <c r="C21" s="66">
        <v>5.51</v>
      </c>
      <c r="D21" s="73"/>
      <c r="E21" s="146" t="str">
        <f>IF(C17="-","-","The value calculated to the left is the weighted average COP for the cooling system as a whole.")</f>
        <v>The value calculated to the left is the weighted average COP for the cooling system as a whole.</v>
      </c>
      <c r="F21" s="147"/>
      <c r="G21" s="147"/>
      <c r="H21" s="147"/>
      <c r="I21" s="147"/>
      <c r="J21" s="147"/>
      <c r="K21" s="147"/>
      <c r="L21" s="147"/>
      <c r="M21" s="147"/>
      <c r="N21" s="147"/>
      <c r="O21" s="148"/>
      <c r="P21" s="3"/>
      <c r="Q21" s="42"/>
      <c r="R21" s="42"/>
      <c r="S21" s="42"/>
      <c r="T21" s="42"/>
      <c r="U21" s="42"/>
      <c r="V21" s="42"/>
      <c r="W21" s="42"/>
      <c r="X21" s="42"/>
      <c r="Y21" s="42"/>
      <c r="Z21" s="42"/>
      <c r="AA21" s="42"/>
      <c r="AB21" s="42"/>
      <c r="AC21" s="42"/>
      <c r="AD21" s="42"/>
      <c r="AE21" s="42"/>
      <c r="AF21" s="42"/>
    </row>
    <row r="22" spans="2:36" ht="25.05" customHeight="1" thickBot="1" x14ac:dyDescent="0.4">
      <c r="B22" s="132" t="s">
        <v>1139</v>
      </c>
      <c r="C22" s="133"/>
      <c r="D22" s="70" t="s">
        <v>1169</v>
      </c>
      <c r="E22" s="183" t="str">
        <f>IF(C23="-","If no heating provided via heat pump, no inputs required.","System 1 &gt; General: Create a single Heat Pump Device and assign coverage to heating.")</f>
        <v>System 1 &gt; General: Create a single Heat Pump Device and assign coverage to heating.</v>
      </c>
      <c r="F22" s="184"/>
      <c r="G22" s="184"/>
      <c r="H22" s="184"/>
      <c r="I22" s="184"/>
      <c r="J22" s="184"/>
      <c r="K22" s="184"/>
      <c r="L22" s="184"/>
      <c r="M22" s="184"/>
      <c r="N22" s="184"/>
      <c r="O22" s="185"/>
      <c r="P22" s="3"/>
      <c r="Q22" s="2"/>
      <c r="R22" s="2"/>
      <c r="S22" s="2"/>
      <c r="T22" s="2"/>
      <c r="U22" s="2"/>
      <c r="V22" s="2"/>
      <c r="W22" s="2"/>
      <c r="X22" s="2"/>
      <c r="Y22" s="2"/>
      <c r="Z22" s="2"/>
      <c r="AA22" s="2"/>
      <c r="AB22" s="2"/>
      <c r="AC22" s="2"/>
      <c r="AD22" s="2"/>
      <c r="AE22" s="2"/>
      <c r="AF22" s="2"/>
    </row>
    <row r="23" spans="2:36" ht="19.95" customHeight="1" x14ac:dyDescent="0.35">
      <c r="B23" s="12" t="s">
        <v>1140</v>
      </c>
      <c r="C23" s="67">
        <v>2.09</v>
      </c>
      <c r="D23" s="74"/>
      <c r="E23" s="137" t="str">
        <f>IF(C23="-","-","The values calculated to the left are weighted average COPs for the heating system as a whole. Under the heat pump device device noted above, set the Type to 'Heat Pump - rated monthly COP' and input values calculated to the left.")</f>
        <v>The values calculated to the left are weighted average COPs for the heating system as a whole. Under the heat pump device device noted above, set the Type to 'Heat Pump - rated monthly COP' and input values calculated to the left.</v>
      </c>
      <c r="F23" s="138"/>
      <c r="G23" s="138"/>
      <c r="H23" s="138"/>
      <c r="I23" s="138"/>
      <c r="J23" s="138"/>
      <c r="K23" s="138"/>
      <c r="L23" s="138"/>
      <c r="M23" s="138"/>
      <c r="N23" s="138"/>
      <c r="O23" s="139"/>
      <c r="P23" s="3"/>
      <c r="Q23" s="42"/>
      <c r="R23" s="42"/>
      <c r="S23" s="42"/>
      <c r="T23" s="42"/>
      <c r="U23" s="42"/>
      <c r="V23" s="42"/>
      <c r="W23" s="44"/>
      <c r="X23" s="42"/>
      <c r="Y23" s="42"/>
      <c r="Z23" s="42"/>
      <c r="AA23" s="44"/>
      <c r="AB23" s="42"/>
      <c r="AC23" s="42"/>
      <c r="AD23" s="42"/>
      <c r="AE23" s="42"/>
      <c r="AF23" s="42"/>
    </row>
    <row r="24" spans="2:36" ht="19.95" customHeight="1" thickBot="1" x14ac:dyDescent="0.4">
      <c r="B24" s="13" t="s">
        <v>1168</v>
      </c>
      <c r="C24" s="65">
        <v>17</v>
      </c>
      <c r="D24" s="72" t="s">
        <v>1166</v>
      </c>
      <c r="E24" s="137"/>
      <c r="F24" s="138"/>
      <c r="G24" s="138"/>
      <c r="H24" s="138"/>
      <c r="I24" s="138"/>
      <c r="J24" s="138"/>
      <c r="K24" s="138"/>
      <c r="L24" s="138"/>
      <c r="M24" s="138"/>
      <c r="N24" s="138"/>
      <c r="O24" s="139"/>
      <c r="P24" s="3"/>
      <c r="Q24" s="3"/>
      <c r="R24" s="3"/>
      <c r="S24" s="3"/>
      <c r="T24" s="3"/>
      <c r="U24" s="3"/>
      <c r="V24" s="3"/>
      <c r="W24" s="3"/>
      <c r="X24" s="3"/>
      <c r="Y24" s="3"/>
      <c r="Z24" s="3"/>
      <c r="AA24" s="3"/>
      <c r="AB24" s="3"/>
      <c r="AC24" s="3"/>
    </row>
    <row r="25" spans="2:36" ht="19.95" customHeight="1" x14ac:dyDescent="0.35">
      <c r="B25" s="12" t="s">
        <v>1141</v>
      </c>
      <c r="C25" s="67">
        <v>3.36</v>
      </c>
      <c r="D25" s="74"/>
      <c r="E25" s="137"/>
      <c r="F25" s="138"/>
      <c r="G25" s="138"/>
      <c r="H25" s="138"/>
      <c r="I25" s="138"/>
      <c r="J25" s="138"/>
      <c r="K25" s="138"/>
      <c r="L25" s="138"/>
      <c r="M25" s="138"/>
      <c r="N25" s="138"/>
      <c r="O25" s="139"/>
      <c r="P25" s="3"/>
      <c r="Q25" s="3"/>
      <c r="R25" s="3"/>
      <c r="S25" s="3"/>
      <c r="T25" s="3"/>
      <c r="U25" s="3"/>
      <c r="V25" s="3"/>
      <c r="W25" s="3"/>
      <c r="X25" s="3"/>
      <c r="Y25" s="3"/>
      <c r="Z25" s="3"/>
      <c r="AA25" s="3"/>
      <c r="AB25" s="3"/>
      <c r="AC25" s="3"/>
    </row>
    <row r="26" spans="2:36" ht="19.95" customHeight="1" thickBot="1" x14ac:dyDescent="0.4">
      <c r="B26" s="13" t="s">
        <v>1167</v>
      </c>
      <c r="C26" s="69">
        <v>47</v>
      </c>
      <c r="D26" s="75" t="s">
        <v>1166</v>
      </c>
      <c r="E26" s="140"/>
      <c r="F26" s="141"/>
      <c r="G26" s="141"/>
      <c r="H26" s="141"/>
      <c r="I26" s="141"/>
      <c r="J26" s="141"/>
      <c r="K26" s="141"/>
      <c r="L26" s="141"/>
      <c r="M26" s="141"/>
      <c r="N26" s="141"/>
      <c r="O26" s="142"/>
      <c r="P26" s="3"/>
      <c r="Q26" s="3"/>
      <c r="R26" s="3"/>
      <c r="S26" s="3"/>
      <c r="T26" s="3"/>
      <c r="U26" s="3"/>
      <c r="V26" s="3"/>
      <c r="W26" s="3"/>
      <c r="X26" s="3"/>
      <c r="Y26" s="3"/>
      <c r="Z26" s="3"/>
      <c r="AA26" s="3"/>
      <c r="AB26" s="3"/>
      <c r="AC26" s="3"/>
    </row>
    <row r="27" spans="2:36" ht="16.2" hidden="1" thickBot="1" x14ac:dyDescent="0.4">
      <c r="P27" s="3"/>
    </row>
    <row r="28" spans="2:36" ht="30" hidden="1" customHeight="1" thickBot="1" x14ac:dyDescent="0.4">
      <c r="B28" s="88" t="s">
        <v>1172</v>
      </c>
      <c r="C28" s="89"/>
      <c r="D28" s="89"/>
      <c r="E28" s="89"/>
      <c r="F28" s="89"/>
      <c r="G28" s="89"/>
      <c r="H28" s="89"/>
      <c r="I28" s="89"/>
      <c r="J28" s="89"/>
      <c r="K28" s="89"/>
      <c r="L28" s="89"/>
      <c r="M28" s="89"/>
      <c r="N28" s="89"/>
      <c r="O28" s="90"/>
      <c r="P28" s="3"/>
      <c r="Q28" s="91" t="s">
        <v>1173</v>
      </c>
      <c r="R28" s="92"/>
      <c r="S28" s="92"/>
      <c r="T28" s="92"/>
      <c r="U28" s="92"/>
      <c r="V28" s="92"/>
      <c r="W28" s="92"/>
      <c r="X28" s="92"/>
      <c r="Y28" s="92"/>
      <c r="Z28" s="92"/>
      <c r="AA28" s="92"/>
      <c r="AB28" s="92"/>
      <c r="AC28" s="92"/>
      <c r="AD28" s="92"/>
      <c r="AE28" s="92"/>
      <c r="AF28" s="92"/>
    </row>
    <row r="29" spans="2:36" ht="79.95" hidden="1" customHeight="1" thickBot="1" x14ac:dyDescent="0.4">
      <c r="B29" s="93" t="s">
        <v>1176</v>
      </c>
      <c r="C29" s="94"/>
      <c r="D29" s="93" t="s">
        <v>1185</v>
      </c>
      <c r="E29" s="95"/>
      <c r="F29" s="95"/>
      <c r="G29" s="95"/>
      <c r="H29" s="95"/>
      <c r="I29" s="95"/>
      <c r="J29" s="95"/>
      <c r="K29" s="95"/>
      <c r="L29" s="95"/>
      <c r="M29" s="95"/>
      <c r="N29" s="95"/>
      <c r="O29" s="94"/>
      <c r="P29" s="3"/>
      <c r="Q29" s="96" t="s">
        <v>1174</v>
      </c>
      <c r="R29" s="97"/>
      <c r="S29" s="97"/>
      <c r="T29" s="97"/>
      <c r="U29" s="97"/>
      <c r="V29" s="97"/>
      <c r="W29" s="97"/>
      <c r="X29" s="97"/>
      <c r="Y29" s="97"/>
      <c r="Z29" s="97"/>
      <c r="AA29" s="97"/>
      <c r="AB29" s="97"/>
      <c r="AC29" s="97"/>
      <c r="AD29" s="97"/>
      <c r="AE29" s="97"/>
      <c r="AF29" s="98"/>
    </row>
    <row r="30" spans="2:36" ht="19.95" hidden="1" customHeight="1" x14ac:dyDescent="0.35">
      <c r="B30" s="99" t="s">
        <v>1175</v>
      </c>
      <c r="C30" s="102" t="s">
        <v>1142</v>
      </c>
      <c r="D30" s="105" t="s">
        <v>1154</v>
      </c>
      <c r="E30" s="106"/>
      <c r="F30" s="106"/>
      <c r="G30" s="106"/>
      <c r="H30" s="106"/>
      <c r="I30" s="107"/>
      <c r="J30" s="108" t="s">
        <v>1155</v>
      </c>
      <c r="K30" s="109"/>
      <c r="L30" s="109"/>
      <c r="M30" s="109"/>
      <c r="N30" s="109"/>
      <c r="O30" s="110"/>
      <c r="P30" s="3"/>
      <c r="Q30" s="111" t="s">
        <v>1143</v>
      </c>
      <c r="R30" s="112"/>
      <c r="S30" s="113"/>
      <c r="T30" s="113"/>
      <c r="U30" s="113"/>
      <c r="V30" s="113"/>
      <c r="W30" s="113"/>
      <c r="X30" s="113"/>
      <c r="Y30" s="113"/>
      <c r="Z30" s="113"/>
      <c r="AA30" s="113"/>
      <c r="AB30" s="113"/>
      <c r="AC30" s="113"/>
      <c r="AD30" s="113"/>
      <c r="AE30" s="113"/>
      <c r="AF30" s="114"/>
    </row>
    <row r="31" spans="2:36" ht="40.049999999999997" hidden="1" customHeight="1" x14ac:dyDescent="0.35">
      <c r="B31" s="100"/>
      <c r="C31" s="103"/>
      <c r="D31" s="131" t="s">
        <v>1163</v>
      </c>
      <c r="E31" s="83"/>
      <c r="F31" s="82" t="s">
        <v>1162</v>
      </c>
      <c r="G31" s="83"/>
      <c r="H31" s="84" t="s">
        <v>53</v>
      </c>
      <c r="I31" s="86" t="s">
        <v>1134</v>
      </c>
      <c r="J31" s="129" t="s">
        <v>1152</v>
      </c>
      <c r="K31" s="21" t="s">
        <v>1163</v>
      </c>
      <c r="L31" s="121" t="s">
        <v>1136</v>
      </c>
      <c r="M31" s="121" t="s">
        <v>1137</v>
      </c>
      <c r="N31" s="84" t="s">
        <v>53</v>
      </c>
      <c r="O31" s="123" t="s">
        <v>1138</v>
      </c>
      <c r="P31" s="3"/>
      <c r="Q31" s="125" t="s">
        <v>1150</v>
      </c>
      <c r="R31" s="126"/>
      <c r="S31" s="127"/>
      <c r="T31" s="116"/>
      <c r="U31" s="115" t="s">
        <v>1153</v>
      </c>
      <c r="V31" s="126"/>
      <c r="W31" s="126"/>
      <c r="X31" s="126"/>
      <c r="Y31" s="115" t="s">
        <v>1158</v>
      </c>
      <c r="Z31" s="126"/>
      <c r="AA31" s="126"/>
      <c r="AB31" s="128"/>
      <c r="AC31" s="115" t="str">
        <f>F31</f>
        <v>COP @ [°F]</v>
      </c>
      <c r="AD31" s="116"/>
      <c r="AE31" s="117" t="s">
        <v>1134</v>
      </c>
      <c r="AF31" s="119" t="s">
        <v>1144</v>
      </c>
    </row>
    <row r="32" spans="2:36" ht="18" hidden="1" customHeight="1" thickBot="1" x14ac:dyDescent="0.4">
      <c r="B32" s="101"/>
      <c r="C32" s="104"/>
      <c r="D32" s="14">
        <v>17</v>
      </c>
      <c r="E32" s="8">
        <v>47</v>
      </c>
      <c r="F32" s="20">
        <f>D32</f>
        <v>17</v>
      </c>
      <c r="G32" s="20">
        <f>E32</f>
        <v>47</v>
      </c>
      <c r="H32" s="85"/>
      <c r="I32" s="87"/>
      <c r="J32" s="130"/>
      <c r="K32" s="22">
        <v>95</v>
      </c>
      <c r="L32" s="122"/>
      <c r="M32" s="122"/>
      <c r="N32" s="85"/>
      <c r="O32" s="124"/>
      <c r="P32" s="3"/>
      <c r="Q32" s="27" t="s">
        <v>1156</v>
      </c>
      <c r="R32" s="28" t="s">
        <v>1157</v>
      </c>
      <c r="S32" s="45">
        <f>D32</f>
        <v>17</v>
      </c>
      <c r="T32" s="45">
        <f>E32</f>
        <v>47</v>
      </c>
      <c r="U32" s="28" t="str">
        <f>L31</f>
        <v>EER</v>
      </c>
      <c r="V32" s="28" t="str">
        <f>M31</f>
        <v>SEER</v>
      </c>
      <c r="W32" s="26" t="s">
        <v>1135</v>
      </c>
      <c r="X32" s="28" t="str">
        <f>O31</f>
        <v>IEER</v>
      </c>
      <c r="Y32" s="28" t="str">
        <f>U32</f>
        <v>EER</v>
      </c>
      <c r="Z32" s="28" t="str">
        <f>V32</f>
        <v>SEER</v>
      </c>
      <c r="AA32" s="28" t="str">
        <f>W32</f>
        <v>Derated SEER</v>
      </c>
      <c r="AB32" s="28" t="str">
        <f>X32</f>
        <v>IEER</v>
      </c>
      <c r="AC32" s="45">
        <f>D32</f>
        <v>17</v>
      </c>
      <c r="AD32" s="45">
        <f>E32</f>
        <v>47</v>
      </c>
      <c r="AE32" s="118"/>
      <c r="AF32" s="120"/>
    </row>
    <row r="33" spans="2:32" ht="17.399999999999999" hidden="1" x14ac:dyDescent="0.35">
      <c r="B33" s="54" t="s">
        <v>1186</v>
      </c>
      <c r="C33" s="55">
        <v>16</v>
      </c>
      <c r="D33" s="59">
        <v>174</v>
      </c>
      <c r="E33" s="60">
        <v>258</v>
      </c>
      <c r="F33" s="56">
        <v>2.09</v>
      </c>
      <c r="G33" s="56">
        <v>3.36</v>
      </c>
      <c r="H33" s="25" t="s">
        <v>1146</v>
      </c>
      <c r="I33" s="49"/>
      <c r="J33" s="16" t="s">
        <v>1153</v>
      </c>
      <c r="K33" s="60">
        <v>228</v>
      </c>
      <c r="L33" s="56"/>
      <c r="M33" s="56"/>
      <c r="N33" s="25" t="s">
        <v>1146</v>
      </c>
      <c r="O33" s="49">
        <v>18.8</v>
      </c>
      <c r="P33" s="3"/>
      <c r="Q33" s="29">
        <f t="shared" ref="Q33:Q58" si="0">IF(J33="Recirculation Air",IFERROR($C33*K33/C$20,"-"),0)</f>
        <v>6</v>
      </c>
      <c r="R33" s="30">
        <f t="shared" ref="R33:R58" si="1">IF(J33="Ventilation Air",IFERROR($C33*K33/C$14,"-"),0)</f>
        <v>0</v>
      </c>
      <c r="S33" s="30">
        <f t="shared" ref="S33:S58" si="2">IFERROR($C33*D33/SUMPRODUCT($C$33:$C$58,$D$33:$D$58),"-")</f>
        <v>1</v>
      </c>
      <c r="T33" s="30">
        <f t="shared" ref="T33:T58" si="3">IFERROR($C33*E33/SUMPRODUCT($C$33:$C$58,$E$33:$E$58),"-")</f>
        <v>1</v>
      </c>
      <c r="U33" s="30" t="str">
        <f>IF(X33&gt;0,"-",IFERROR(L33*Q33,"-"))</f>
        <v>-</v>
      </c>
      <c r="V33" s="30" t="str">
        <f>IF(X33&gt;0,"-",IFERROR(M33*Q33,"-"))</f>
        <v>-</v>
      </c>
      <c r="W33" s="31">
        <f>IFERROR(IF(M33&lt;13.5,(1-(-0.5655+0.005414*'phius_monthly climate data'!$H$2+0.01039*M33))*M33,(1-(-0.5864+0.005668*'phius_monthly climate data'!$H$2+0.01029*M33))*M33),"-")*Q33</f>
        <v>0</v>
      </c>
      <c r="X33" s="30">
        <f>IFERROR(O33*Q33,"-")</f>
        <v>112.80000000000001</v>
      </c>
      <c r="Y33" s="30">
        <f>IF(AB33&gt;0,"-",IFERROR(L33*R33,"-"))</f>
        <v>0</v>
      </c>
      <c r="Z33" s="30">
        <f>IF(AB33&gt;0,"-",IFERROR(M33*R33,"-"))</f>
        <v>0</v>
      </c>
      <c r="AA33" s="31">
        <f>IFERROR(IF(M33&lt;13.5,(1-(-0.5655+0.005414*'phius_monthly climate data'!$H$2+0.01039*M33))*M33,(1-(-0.5864+0.005668*'phius_monthly climate data'!$H$2+0.01029*M33))*M33),"-")*R33</f>
        <v>0</v>
      </c>
      <c r="AB33" s="30">
        <f>IFERROR(O33*R33,"-")</f>
        <v>0</v>
      </c>
      <c r="AC33" s="30">
        <f t="shared" ref="AC33:AD58" si="4">IFERROR(F33*S33,"-")</f>
        <v>2.09</v>
      </c>
      <c r="AD33" s="30">
        <f t="shared" si="4"/>
        <v>3.36</v>
      </c>
      <c r="AE33" s="30">
        <f t="shared" ref="AE33:AE58" si="5">IFERROR(I33*T33,"-")</f>
        <v>0</v>
      </c>
      <c r="AF33" s="32">
        <f>IFERROR(IF(I33&lt;8.5,(1-(0.1392+-0.00846*'phius_monthly climate data'!$I$2+-0.0001074*'phius_monthly climate data'!$I$2+0.0228*I33))*I33,(1-(0.1041+-0.008862*'phius_monthly climate data'!$I$2+-0.0001153*'phius_monthly climate data'!$I$2+0.02817*I33))*I33),"-")*T33</f>
        <v>0</v>
      </c>
    </row>
    <row r="34" spans="2:32" ht="17.399999999999999" hidden="1" x14ac:dyDescent="0.35">
      <c r="B34" s="15"/>
      <c r="C34" s="50"/>
      <c r="D34" s="61"/>
      <c r="E34" s="62"/>
      <c r="F34" s="52"/>
      <c r="G34" s="53"/>
      <c r="H34" s="23" t="s">
        <v>1146</v>
      </c>
      <c r="I34" s="47"/>
      <c r="J34" s="18" t="s">
        <v>1184</v>
      </c>
      <c r="K34" s="62"/>
      <c r="L34" s="52"/>
      <c r="M34" s="53"/>
      <c r="N34" s="23" t="s">
        <v>1146</v>
      </c>
      <c r="O34" s="47"/>
      <c r="P34" s="3"/>
      <c r="Q34" s="29">
        <f t="shared" si="0"/>
        <v>0</v>
      </c>
      <c r="R34" s="30">
        <f t="shared" si="1"/>
        <v>0</v>
      </c>
      <c r="S34" s="30">
        <f t="shared" si="2"/>
        <v>0</v>
      </c>
      <c r="T34" s="30">
        <f t="shared" si="3"/>
        <v>0</v>
      </c>
      <c r="U34" s="30">
        <f t="shared" ref="U34:U58" si="6">IF(X34&gt;0,"-",IFERROR(L34*Q34,"-"))</f>
        <v>0</v>
      </c>
      <c r="V34" s="30">
        <f t="shared" ref="V34:V58" si="7">IF(X34&gt;0,"-",IFERROR(M34*Q34,"-"))</f>
        <v>0</v>
      </c>
      <c r="W34" s="31">
        <f>IFERROR(IF(M34&lt;13.5,(1-(-0.5655+0.005414*'phius_monthly climate data'!$H$2+0.01039*M34))*M34,(1-(-0.5864+0.005668*'phius_monthly climate data'!$H$2+0.01029*M34))*M34),"-")*Q34</f>
        <v>0</v>
      </c>
      <c r="X34" s="30">
        <f t="shared" ref="X34:X58" si="8">IFERROR(O34*Q34,"-")</f>
        <v>0</v>
      </c>
      <c r="Y34" s="30">
        <f t="shared" ref="Y34:Y58" si="9">IF(AB34&gt;0,"-",IFERROR(L34*R34,"-"))</f>
        <v>0</v>
      </c>
      <c r="Z34" s="30">
        <f t="shared" ref="Z34:Z58" si="10">IF(AB34&gt;0,"-",IFERROR(M34*R34,"-"))</f>
        <v>0</v>
      </c>
      <c r="AA34" s="31">
        <f>IFERROR(IF(M34&lt;13.5,(1-(-0.5655+0.005414*'phius_monthly climate data'!$H$2+0.01039*M34))*M34,(1-(-0.5864+0.005668*'phius_monthly climate data'!$H$2+0.01029*M34))*M34),"-")*R34</f>
        <v>0</v>
      </c>
      <c r="AB34" s="30">
        <f t="shared" ref="AB34:AB58" si="11">IFERROR(O34*R34,"-")</f>
        <v>0</v>
      </c>
      <c r="AC34" s="30">
        <f t="shared" si="4"/>
        <v>0</v>
      </c>
      <c r="AD34" s="30">
        <f t="shared" si="4"/>
        <v>0</v>
      </c>
      <c r="AE34" s="30">
        <f t="shared" si="5"/>
        <v>0</v>
      </c>
      <c r="AF34" s="32">
        <f>IFERROR(IF(I34&lt;8.5,(1-(0.1392+-0.00846*'phius_monthly climate data'!$I$2+-0.0001074*'phius_monthly climate data'!$I$2+0.0228*I34))*I34,(1-(0.1041+-0.008862*'phius_monthly climate data'!$I$2+-0.0001153*'phius_monthly climate data'!$I$2+0.02817*I34))*I34),"-")*T34</f>
        <v>0</v>
      </c>
    </row>
    <row r="35" spans="2:32" ht="17.399999999999999" hidden="1" x14ac:dyDescent="0.35">
      <c r="B35" s="15"/>
      <c r="C35" s="50"/>
      <c r="D35" s="61"/>
      <c r="E35" s="62"/>
      <c r="F35" s="52"/>
      <c r="G35" s="53"/>
      <c r="H35" s="23" t="s">
        <v>1146</v>
      </c>
      <c r="I35" s="47"/>
      <c r="J35" s="18" t="s">
        <v>1184</v>
      </c>
      <c r="K35" s="62"/>
      <c r="L35" s="52"/>
      <c r="M35" s="53"/>
      <c r="N35" s="23" t="s">
        <v>1146</v>
      </c>
      <c r="O35" s="47"/>
      <c r="P35" s="3"/>
      <c r="Q35" s="29">
        <f t="shared" si="0"/>
        <v>0</v>
      </c>
      <c r="R35" s="30">
        <f t="shared" si="1"/>
        <v>0</v>
      </c>
      <c r="S35" s="30">
        <f t="shared" si="2"/>
        <v>0</v>
      </c>
      <c r="T35" s="30">
        <f t="shared" si="3"/>
        <v>0</v>
      </c>
      <c r="U35" s="30">
        <f t="shared" si="6"/>
        <v>0</v>
      </c>
      <c r="V35" s="30">
        <f t="shared" si="7"/>
        <v>0</v>
      </c>
      <c r="W35" s="31">
        <f>IFERROR(IF(M35&lt;13.5,(1-(-0.5655+0.005414*'phius_monthly climate data'!$H$2+0.01039*M35))*M35,(1-(-0.5864+0.005668*'phius_monthly climate data'!$H$2+0.01029*M35))*M35),"-")*Q35</f>
        <v>0</v>
      </c>
      <c r="X35" s="30">
        <f t="shared" si="8"/>
        <v>0</v>
      </c>
      <c r="Y35" s="30">
        <f t="shared" si="9"/>
        <v>0</v>
      </c>
      <c r="Z35" s="30">
        <f t="shared" si="10"/>
        <v>0</v>
      </c>
      <c r="AA35" s="31">
        <f>IFERROR(IF(M35&lt;13.5,(1-(-0.5655+0.005414*'phius_monthly climate data'!$H$2+0.01039*M35))*M35,(1-(-0.5864+0.005668*'phius_monthly climate data'!$H$2+0.01029*M35))*M35),"-")*R35</f>
        <v>0</v>
      </c>
      <c r="AB35" s="30">
        <f t="shared" si="11"/>
        <v>0</v>
      </c>
      <c r="AC35" s="30">
        <f t="shared" si="4"/>
        <v>0</v>
      </c>
      <c r="AD35" s="30">
        <f t="shared" si="4"/>
        <v>0</v>
      </c>
      <c r="AE35" s="30">
        <f t="shared" si="5"/>
        <v>0</v>
      </c>
      <c r="AF35" s="32">
        <f>IFERROR(IF(I35&lt;8.5,(1-(0.1392+-0.00846*'phius_monthly climate data'!$I$2+-0.0001074*'phius_monthly climate data'!$I$2+0.0228*I35))*I35,(1-(0.1041+-0.008862*'phius_monthly climate data'!$I$2+-0.0001153*'phius_monthly climate data'!$I$2+0.02817*I35))*I35),"-")*T35</f>
        <v>0</v>
      </c>
    </row>
    <row r="36" spans="2:32" ht="17.399999999999999" hidden="1" x14ac:dyDescent="0.35">
      <c r="B36" s="17"/>
      <c r="C36" s="50"/>
      <c r="D36" s="61"/>
      <c r="E36" s="62"/>
      <c r="F36" s="52"/>
      <c r="G36" s="53"/>
      <c r="H36" s="23" t="s">
        <v>1146</v>
      </c>
      <c r="I36" s="47"/>
      <c r="J36" s="18" t="s">
        <v>1184</v>
      </c>
      <c r="K36" s="62"/>
      <c r="L36" s="52"/>
      <c r="M36" s="53"/>
      <c r="N36" s="23" t="s">
        <v>1146</v>
      </c>
      <c r="O36" s="47"/>
      <c r="P36" s="3"/>
      <c r="Q36" s="29">
        <f t="shared" si="0"/>
        <v>0</v>
      </c>
      <c r="R36" s="30">
        <f t="shared" si="1"/>
        <v>0</v>
      </c>
      <c r="S36" s="30">
        <f t="shared" si="2"/>
        <v>0</v>
      </c>
      <c r="T36" s="30">
        <f t="shared" si="3"/>
        <v>0</v>
      </c>
      <c r="U36" s="30">
        <f t="shared" si="6"/>
        <v>0</v>
      </c>
      <c r="V36" s="30">
        <f t="shared" si="7"/>
        <v>0</v>
      </c>
      <c r="W36" s="31">
        <f>IFERROR(IF(M36&lt;13.5,(1-(-0.5655+0.005414*'phius_monthly climate data'!$H$2+0.01039*M36))*M36,(1-(-0.5864+0.005668*'phius_monthly climate data'!$H$2+0.01029*M36))*M36),"-")*Q36</f>
        <v>0</v>
      </c>
      <c r="X36" s="30">
        <f t="shared" si="8"/>
        <v>0</v>
      </c>
      <c r="Y36" s="30">
        <f t="shared" si="9"/>
        <v>0</v>
      </c>
      <c r="Z36" s="30">
        <f t="shared" si="10"/>
        <v>0</v>
      </c>
      <c r="AA36" s="31">
        <f>IFERROR(IF(M36&lt;13.5,(1-(-0.5655+0.005414*'phius_monthly climate data'!$H$2+0.01039*M36))*M36,(1-(-0.5864+0.005668*'phius_monthly climate data'!$H$2+0.01029*M36))*M36),"-")*R36</f>
        <v>0</v>
      </c>
      <c r="AB36" s="30">
        <f t="shared" si="11"/>
        <v>0</v>
      </c>
      <c r="AC36" s="30">
        <f t="shared" si="4"/>
        <v>0</v>
      </c>
      <c r="AD36" s="30">
        <f t="shared" si="4"/>
        <v>0</v>
      </c>
      <c r="AE36" s="30">
        <f t="shared" si="5"/>
        <v>0</v>
      </c>
      <c r="AF36" s="32">
        <f>IFERROR(IF(I36&lt;8.5,(1-(0.1392+-0.00846*'phius_monthly climate data'!$I$2+-0.0001074*'phius_monthly climate data'!$I$2+0.0228*I36))*I36,(1-(0.1041+-0.008862*'phius_monthly climate data'!$I$2+-0.0001153*'phius_monthly climate data'!$I$2+0.02817*I36))*I36),"-")*T36</f>
        <v>0</v>
      </c>
    </row>
    <row r="37" spans="2:32" ht="17.399999999999999" hidden="1" x14ac:dyDescent="0.35">
      <c r="B37" s="17"/>
      <c r="C37" s="50"/>
      <c r="D37" s="61"/>
      <c r="E37" s="62"/>
      <c r="F37" s="52"/>
      <c r="G37" s="53"/>
      <c r="H37" s="23" t="s">
        <v>1146</v>
      </c>
      <c r="I37" s="47"/>
      <c r="J37" s="18" t="s">
        <v>1184</v>
      </c>
      <c r="K37" s="62"/>
      <c r="L37" s="52"/>
      <c r="M37" s="53"/>
      <c r="N37" s="23" t="s">
        <v>1146</v>
      </c>
      <c r="O37" s="47"/>
      <c r="P37" s="3"/>
      <c r="Q37" s="29">
        <f t="shared" si="0"/>
        <v>0</v>
      </c>
      <c r="R37" s="30">
        <f t="shared" si="1"/>
        <v>0</v>
      </c>
      <c r="S37" s="30">
        <f t="shared" si="2"/>
        <v>0</v>
      </c>
      <c r="T37" s="30">
        <f t="shared" si="3"/>
        <v>0</v>
      </c>
      <c r="U37" s="30">
        <f t="shared" si="6"/>
        <v>0</v>
      </c>
      <c r="V37" s="30">
        <f t="shared" si="7"/>
        <v>0</v>
      </c>
      <c r="W37" s="31">
        <f>IFERROR(IF(M37&lt;13.5,(1-(-0.5655+0.005414*'phius_monthly climate data'!$H$2+0.01039*M37))*M37,(1-(-0.5864+0.005668*'phius_monthly climate data'!$H$2+0.01029*M37))*M37),"-")*Q37</f>
        <v>0</v>
      </c>
      <c r="X37" s="30">
        <f t="shared" si="8"/>
        <v>0</v>
      </c>
      <c r="Y37" s="30">
        <f t="shared" si="9"/>
        <v>0</v>
      </c>
      <c r="Z37" s="30">
        <f t="shared" si="10"/>
        <v>0</v>
      </c>
      <c r="AA37" s="31">
        <f>IFERROR(IF(M37&lt;13.5,(1-(-0.5655+0.005414*'phius_monthly climate data'!$H$2+0.01039*M37))*M37,(1-(-0.5864+0.005668*'phius_monthly climate data'!$H$2+0.01029*M37))*M37),"-")*R37</f>
        <v>0</v>
      </c>
      <c r="AB37" s="30">
        <f t="shared" si="11"/>
        <v>0</v>
      </c>
      <c r="AC37" s="30">
        <f t="shared" si="4"/>
        <v>0</v>
      </c>
      <c r="AD37" s="30">
        <f t="shared" si="4"/>
        <v>0</v>
      </c>
      <c r="AE37" s="30">
        <f t="shared" si="5"/>
        <v>0</v>
      </c>
      <c r="AF37" s="32">
        <f>IFERROR(IF(I37&lt;8.5,(1-(0.1392+-0.00846*'phius_monthly climate data'!$I$2+-0.0001074*'phius_monthly climate data'!$I$2+0.0228*I37))*I37,(1-(0.1041+-0.008862*'phius_monthly climate data'!$I$2+-0.0001153*'phius_monthly climate data'!$I$2+0.02817*I37))*I37),"-")*T37</f>
        <v>0</v>
      </c>
    </row>
    <row r="38" spans="2:32" ht="17.399999999999999" hidden="1" x14ac:dyDescent="0.35">
      <c r="B38" s="17"/>
      <c r="C38" s="50"/>
      <c r="D38" s="61"/>
      <c r="E38" s="62"/>
      <c r="F38" s="52"/>
      <c r="G38" s="53"/>
      <c r="H38" s="23" t="s">
        <v>1146</v>
      </c>
      <c r="I38" s="47"/>
      <c r="J38" s="18" t="s">
        <v>1184</v>
      </c>
      <c r="K38" s="62"/>
      <c r="L38" s="52"/>
      <c r="M38" s="53"/>
      <c r="N38" s="23" t="s">
        <v>1146</v>
      </c>
      <c r="O38" s="47"/>
      <c r="P38" s="3"/>
      <c r="Q38" s="29">
        <f t="shared" si="0"/>
        <v>0</v>
      </c>
      <c r="R38" s="30">
        <f t="shared" si="1"/>
        <v>0</v>
      </c>
      <c r="S38" s="30">
        <f t="shared" si="2"/>
        <v>0</v>
      </c>
      <c r="T38" s="30">
        <f t="shared" si="3"/>
        <v>0</v>
      </c>
      <c r="U38" s="30">
        <f t="shared" si="6"/>
        <v>0</v>
      </c>
      <c r="V38" s="30">
        <f t="shared" si="7"/>
        <v>0</v>
      </c>
      <c r="W38" s="31">
        <f>IFERROR(IF(M38&lt;13.5,(1-(-0.5655+0.005414*'phius_monthly climate data'!$H$2+0.01039*M38))*M38,(1-(-0.5864+0.005668*'phius_monthly climate data'!$H$2+0.01029*M38))*M38),"-")*Q38</f>
        <v>0</v>
      </c>
      <c r="X38" s="30">
        <f t="shared" si="8"/>
        <v>0</v>
      </c>
      <c r="Y38" s="30">
        <f t="shared" si="9"/>
        <v>0</v>
      </c>
      <c r="Z38" s="30">
        <f t="shared" si="10"/>
        <v>0</v>
      </c>
      <c r="AA38" s="31">
        <f>IFERROR(IF(M38&lt;13.5,(1-(-0.5655+0.005414*'phius_monthly climate data'!$H$2+0.01039*M38))*M38,(1-(-0.5864+0.005668*'phius_monthly climate data'!$H$2+0.01029*M38))*M38),"-")*R38</f>
        <v>0</v>
      </c>
      <c r="AB38" s="30">
        <f t="shared" si="11"/>
        <v>0</v>
      </c>
      <c r="AC38" s="30">
        <f t="shared" si="4"/>
        <v>0</v>
      </c>
      <c r="AD38" s="30">
        <f t="shared" si="4"/>
        <v>0</v>
      </c>
      <c r="AE38" s="30">
        <f t="shared" si="5"/>
        <v>0</v>
      </c>
      <c r="AF38" s="32">
        <f>IFERROR(IF(I38&lt;8.5,(1-(0.1392+-0.00846*'phius_monthly climate data'!$I$2+-0.0001074*'phius_monthly climate data'!$I$2+0.0228*I38))*I38,(1-(0.1041+-0.008862*'phius_monthly climate data'!$I$2+-0.0001153*'phius_monthly climate data'!$I$2+0.02817*I38))*I38),"-")*T38</f>
        <v>0</v>
      </c>
    </row>
    <row r="39" spans="2:32" ht="17.399999999999999" hidden="1" x14ac:dyDescent="0.35">
      <c r="B39" s="17"/>
      <c r="C39" s="50"/>
      <c r="D39" s="61"/>
      <c r="E39" s="62"/>
      <c r="F39" s="52"/>
      <c r="G39" s="53"/>
      <c r="H39" s="23" t="s">
        <v>1146</v>
      </c>
      <c r="I39" s="47"/>
      <c r="J39" s="18" t="s">
        <v>1184</v>
      </c>
      <c r="K39" s="62"/>
      <c r="L39" s="52"/>
      <c r="M39" s="53"/>
      <c r="N39" s="23" t="s">
        <v>1146</v>
      </c>
      <c r="O39" s="47"/>
      <c r="P39" s="3"/>
      <c r="Q39" s="29">
        <f t="shared" si="0"/>
        <v>0</v>
      </c>
      <c r="R39" s="30">
        <f t="shared" si="1"/>
        <v>0</v>
      </c>
      <c r="S39" s="30">
        <f t="shared" si="2"/>
        <v>0</v>
      </c>
      <c r="T39" s="30">
        <f t="shared" si="3"/>
        <v>0</v>
      </c>
      <c r="U39" s="30">
        <f t="shared" si="6"/>
        <v>0</v>
      </c>
      <c r="V39" s="30">
        <f t="shared" si="7"/>
        <v>0</v>
      </c>
      <c r="W39" s="31">
        <f>IFERROR(IF(M39&lt;13.5,(1-(-0.5655+0.005414*'phius_monthly climate data'!$H$2+0.01039*M39))*M39,(1-(-0.5864+0.005668*'phius_monthly climate data'!$H$2+0.01029*M39))*M39),"-")*Q39</f>
        <v>0</v>
      </c>
      <c r="X39" s="30">
        <f t="shared" si="8"/>
        <v>0</v>
      </c>
      <c r="Y39" s="30">
        <f t="shared" si="9"/>
        <v>0</v>
      </c>
      <c r="Z39" s="30">
        <f t="shared" si="10"/>
        <v>0</v>
      </c>
      <c r="AA39" s="31">
        <f>IFERROR(IF(M39&lt;13.5,(1-(-0.5655+0.005414*'phius_monthly climate data'!$H$2+0.01039*M39))*M39,(1-(-0.5864+0.005668*'phius_monthly climate data'!$H$2+0.01029*M39))*M39),"-")*R39</f>
        <v>0</v>
      </c>
      <c r="AB39" s="30">
        <f t="shared" si="11"/>
        <v>0</v>
      </c>
      <c r="AC39" s="30">
        <f t="shared" si="4"/>
        <v>0</v>
      </c>
      <c r="AD39" s="30">
        <f t="shared" si="4"/>
        <v>0</v>
      </c>
      <c r="AE39" s="30">
        <f t="shared" si="5"/>
        <v>0</v>
      </c>
      <c r="AF39" s="32">
        <f>IFERROR(IF(I39&lt;8.5,(1-(0.1392+-0.00846*'phius_monthly climate data'!$I$2+-0.0001074*'phius_monthly climate data'!$I$2+0.0228*I39))*I39,(1-(0.1041+-0.008862*'phius_monthly climate data'!$I$2+-0.0001153*'phius_monthly climate data'!$I$2+0.02817*I39))*I39),"-")*T39</f>
        <v>0</v>
      </c>
    </row>
    <row r="40" spans="2:32" ht="17.399999999999999" hidden="1" x14ac:dyDescent="0.35">
      <c r="B40" s="17"/>
      <c r="C40" s="50"/>
      <c r="D40" s="61"/>
      <c r="E40" s="62"/>
      <c r="F40" s="52"/>
      <c r="G40" s="53"/>
      <c r="H40" s="23" t="s">
        <v>1146</v>
      </c>
      <c r="I40" s="47"/>
      <c r="J40" s="18" t="s">
        <v>1184</v>
      </c>
      <c r="K40" s="62"/>
      <c r="L40" s="52"/>
      <c r="M40" s="53"/>
      <c r="N40" s="23" t="s">
        <v>1146</v>
      </c>
      <c r="O40" s="47"/>
      <c r="P40" s="3"/>
      <c r="Q40" s="29">
        <f t="shared" si="0"/>
        <v>0</v>
      </c>
      <c r="R40" s="30">
        <f t="shared" si="1"/>
        <v>0</v>
      </c>
      <c r="S40" s="30">
        <f t="shared" si="2"/>
        <v>0</v>
      </c>
      <c r="T40" s="30">
        <f t="shared" si="3"/>
        <v>0</v>
      </c>
      <c r="U40" s="30">
        <f t="shared" si="6"/>
        <v>0</v>
      </c>
      <c r="V40" s="30">
        <f t="shared" si="7"/>
        <v>0</v>
      </c>
      <c r="W40" s="31">
        <f>IFERROR(IF(M40&lt;13.5,(1-(-0.5655+0.005414*'phius_monthly climate data'!$H$2+0.01039*M40))*M40,(1-(-0.5864+0.005668*'phius_monthly climate data'!$H$2+0.01029*M40))*M40),"-")*Q40</f>
        <v>0</v>
      </c>
      <c r="X40" s="30">
        <f t="shared" si="8"/>
        <v>0</v>
      </c>
      <c r="Y40" s="30">
        <f t="shared" si="9"/>
        <v>0</v>
      </c>
      <c r="Z40" s="30">
        <f t="shared" si="10"/>
        <v>0</v>
      </c>
      <c r="AA40" s="31">
        <f>IFERROR(IF(M40&lt;13.5,(1-(-0.5655+0.005414*'phius_monthly climate data'!$H$2+0.01039*M40))*M40,(1-(-0.5864+0.005668*'phius_monthly climate data'!$H$2+0.01029*M40))*M40),"-")*R40</f>
        <v>0</v>
      </c>
      <c r="AB40" s="30">
        <f t="shared" si="11"/>
        <v>0</v>
      </c>
      <c r="AC40" s="30">
        <f t="shared" si="4"/>
        <v>0</v>
      </c>
      <c r="AD40" s="30">
        <f t="shared" si="4"/>
        <v>0</v>
      </c>
      <c r="AE40" s="30">
        <f t="shared" si="5"/>
        <v>0</v>
      </c>
      <c r="AF40" s="32">
        <f>IFERROR(IF(I40&lt;8.5,(1-(0.1392+-0.00846*'phius_monthly climate data'!$I$2+-0.0001074*'phius_monthly climate data'!$I$2+0.0228*I40))*I40,(1-(0.1041+-0.008862*'phius_monthly climate data'!$I$2+-0.0001153*'phius_monthly climate data'!$I$2+0.02817*I40))*I40),"-")*T40</f>
        <v>0</v>
      </c>
    </row>
    <row r="41" spans="2:32" ht="17.399999999999999" hidden="1" x14ac:dyDescent="0.35">
      <c r="B41" s="17"/>
      <c r="C41" s="50"/>
      <c r="D41" s="61"/>
      <c r="E41" s="62"/>
      <c r="F41" s="52"/>
      <c r="G41" s="53"/>
      <c r="H41" s="23" t="s">
        <v>1146</v>
      </c>
      <c r="I41" s="47"/>
      <c r="J41" s="18" t="s">
        <v>1184</v>
      </c>
      <c r="K41" s="62"/>
      <c r="L41" s="52"/>
      <c r="M41" s="53"/>
      <c r="N41" s="23" t="s">
        <v>1146</v>
      </c>
      <c r="O41" s="47"/>
      <c r="P41" s="3"/>
      <c r="Q41" s="29">
        <f t="shared" si="0"/>
        <v>0</v>
      </c>
      <c r="R41" s="30">
        <f t="shared" si="1"/>
        <v>0</v>
      </c>
      <c r="S41" s="30">
        <f t="shared" si="2"/>
        <v>0</v>
      </c>
      <c r="T41" s="30">
        <f t="shared" si="3"/>
        <v>0</v>
      </c>
      <c r="U41" s="30">
        <f t="shared" si="6"/>
        <v>0</v>
      </c>
      <c r="V41" s="30">
        <f t="shared" si="7"/>
        <v>0</v>
      </c>
      <c r="W41" s="31">
        <f>IFERROR(IF(M41&lt;13.5,(1-(-0.5655+0.005414*'phius_monthly climate data'!$H$2+0.01039*M41))*M41,(1-(-0.5864+0.005668*'phius_monthly climate data'!$H$2+0.01029*M41))*M41),"-")*Q41</f>
        <v>0</v>
      </c>
      <c r="X41" s="30">
        <f t="shared" si="8"/>
        <v>0</v>
      </c>
      <c r="Y41" s="30">
        <f t="shared" si="9"/>
        <v>0</v>
      </c>
      <c r="Z41" s="30">
        <f t="shared" si="10"/>
        <v>0</v>
      </c>
      <c r="AA41" s="31">
        <f>IFERROR(IF(M41&lt;13.5,(1-(-0.5655+0.005414*'phius_monthly climate data'!$H$2+0.01039*M41))*M41,(1-(-0.5864+0.005668*'phius_monthly climate data'!$H$2+0.01029*M41))*M41),"-")*R41</f>
        <v>0</v>
      </c>
      <c r="AB41" s="30">
        <f t="shared" si="11"/>
        <v>0</v>
      </c>
      <c r="AC41" s="30">
        <f t="shared" si="4"/>
        <v>0</v>
      </c>
      <c r="AD41" s="30">
        <f t="shared" si="4"/>
        <v>0</v>
      </c>
      <c r="AE41" s="30">
        <f t="shared" si="5"/>
        <v>0</v>
      </c>
      <c r="AF41" s="32">
        <f>IFERROR(IF(I41&lt;8.5,(1-(0.1392+-0.00846*'phius_monthly climate data'!$I$2+-0.0001074*'phius_monthly climate data'!$I$2+0.0228*I41))*I41,(1-(0.1041+-0.008862*'phius_monthly climate data'!$I$2+-0.0001153*'phius_monthly climate data'!$I$2+0.02817*I41))*I41),"-")*T41</f>
        <v>0</v>
      </c>
    </row>
    <row r="42" spans="2:32" ht="17.399999999999999" hidden="1" x14ac:dyDescent="0.35">
      <c r="B42" s="17"/>
      <c r="C42" s="50"/>
      <c r="D42" s="61"/>
      <c r="E42" s="62"/>
      <c r="F42" s="52"/>
      <c r="G42" s="53"/>
      <c r="H42" s="23" t="s">
        <v>1146</v>
      </c>
      <c r="I42" s="47"/>
      <c r="J42" s="18" t="s">
        <v>1184</v>
      </c>
      <c r="K42" s="62"/>
      <c r="L42" s="52"/>
      <c r="M42" s="53"/>
      <c r="N42" s="23" t="s">
        <v>1146</v>
      </c>
      <c r="O42" s="47"/>
      <c r="P42" s="3"/>
      <c r="Q42" s="29">
        <f t="shared" si="0"/>
        <v>0</v>
      </c>
      <c r="R42" s="30">
        <f t="shared" si="1"/>
        <v>0</v>
      </c>
      <c r="S42" s="30">
        <f t="shared" si="2"/>
        <v>0</v>
      </c>
      <c r="T42" s="30">
        <f t="shared" si="3"/>
        <v>0</v>
      </c>
      <c r="U42" s="30">
        <f t="shared" si="6"/>
        <v>0</v>
      </c>
      <c r="V42" s="30">
        <f t="shared" si="7"/>
        <v>0</v>
      </c>
      <c r="W42" s="31">
        <f>IFERROR(IF(M42&lt;13.5,(1-(-0.5655+0.005414*'phius_monthly climate data'!$H$2+0.01039*M42))*M42,(1-(-0.5864+0.005668*'phius_monthly climate data'!$H$2+0.01029*M42))*M42),"-")*Q42</f>
        <v>0</v>
      </c>
      <c r="X42" s="30">
        <f t="shared" si="8"/>
        <v>0</v>
      </c>
      <c r="Y42" s="30">
        <f t="shared" si="9"/>
        <v>0</v>
      </c>
      <c r="Z42" s="30">
        <f t="shared" si="10"/>
        <v>0</v>
      </c>
      <c r="AA42" s="31">
        <f>IFERROR(IF(M42&lt;13.5,(1-(-0.5655+0.005414*'phius_monthly climate data'!$H$2+0.01039*M42))*M42,(1-(-0.5864+0.005668*'phius_monthly climate data'!$H$2+0.01029*M42))*M42),"-")*R42</f>
        <v>0</v>
      </c>
      <c r="AB42" s="30">
        <f t="shared" si="11"/>
        <v>0</v>
      </c>
      <c r="AC42" s="30">
        <f t="shared" si="4"/>
        <v>0</v>
      </c>
      <c r="AD42" s="30">
        <f t="shared" si="4"/>
        <v>0</v>
      </c>
      <c r="AE42" s="30">
        <f t="shared" si="5"/>
        <v>0</v>
      </c>
      <c r="AF42" s="32">
        <f>IFERROR(IF(I42&lt;8.5,(1-(0.1392+-0.00846*'phius_monthly climate data'!$I$2+-0.0001074*'phius_monthly climate data'!$I$2+0.0228*I42))*I42,(1-(0.1041+-0.008862*'phius_monthly climate data'!$I$2+-0.0001153*'phius_monthly climate data'!$I$2+0.02817*I42))*I42),"-")*T42</f>
        <v>0</v>
      </c>
    </row>
    <row r="43" spans="2:32" ht="17.399999999999999" hidden="1" x14ac:dyDescent="0.35">
      <c r="B43" s="17"/>
      <c r="C43" s="50"/>
      <c r="D43" s="61"/>
      <c r="E43" s="62"/>
      <c r="F43" s="52"/>
      <c r="G43" s="53"/>
      <c r="H43" s="23" t="s">
        <v>1146</v>
      </c>
      <c r="I43" s="47"/>
      <c r="J43" s="18" t="s">
        <v>1184</v>
      </c>
      <c r="K43" s="62"/>
      <c r="L43" s="52"/>
      <c r="M43" s="53"/>
      <c r="N43" s="23" t="s">
        <v>1146</v>
      </c>
      <c r="O43" s="47"/>
      <c r="P43" s="3"/>
      <c r="Q43" s="29">
        <f t="shared" si="0"/>
        <v>0</v>
      </c>
      <c r="R43" s="30">
        <f t="shared" si="1"/>
        <v>0</v>
      </c>
      <c r="S43" s="30">
        <f t="shared" si="2"/>
        <v>0</v>
      </c>
      <c r="T43" s="30">
        <f t="shared" si="3"/>
        <v>0</v>
      </c>
      <c r="U43" s="30">
        <f t="shared" si="6"/>
        <v>0</v>
      </c>
      <c r="V43" s="30">
        <f t="shared" si="7"/>
        <v>0</v>
      </c>
      <c r="W43" s="31">
        <f>IFERROR(IF(M43&lt;13.5,(1-(-0.5655+0.005414*'phius_monthly climate data'!$H$2+0.01039*M43))*M43,(1-(-0.5864+0.005668*'phius_monthly climate data'!$H$2+0.01029*M43))*M43),"-")*Q43</f>
        <v>0</v>
      </c>
      <c r="X43" s="30">
        <f t="shared" si="8"/>
        <v>0</v>
      </c>
      <c r="Y43" s="30">
        <f t="shared" si="9"/>
        <v>0</v>
      </c>
      <c r="Z43" s="30">
        <f t="shared" si="10"/>
        <v>0</v>
      </c>
      <c r="AA43" s="31">
        <f>IFERROR(IF(M43&lt;13.5,(1-(-0.5655+0.005414*'phius_monthly climate data'!$H$2+0.01039*M43))*M43,(1-(-0.5864+0.005668*'phius_monthly climate data'!$H$2+0.01029*M43))*M43),"-")*R43</f>
        <v>0</v>
      </c>
      <c r="AB43" s="30">
        <f t="shared" si="11"/>
        <v>0</v>
      </c>
      <c r="AC43" s="30">
        <f t="shared" si="4"/>
        <v>0</v>
      </c>
      <c r="AD43" s="30">
        <f t="shared" si="4"/>
        <v>0</v>
      </c>
      <c r="AE43" s="30">
        <f t="shared" si="5"/>
        <v>0</v>
      </c>
      <c r="AF43" s="32">
        <f>IFERROR(IF(I43&lt;8.5,(1-(0.1392+-0.00846*'phius_monthly climate data'!$I$2+-0.0001074*'phius_monthly climate data'!$I$2+0.0228*I43))*I43,(1-(0.1041+-0.008862*'phius_monthly climate data'!$I$2+-0.0001153*'phius_monthly climate data'!$I$2+0.02817*I43))*I43),"-")*T43</f>
        <v>0</v>
      </c>
    </row>
    <row r="44" spans="2:32" ht="17.399999999999999" hidden="1" x14ac:dyDescent="0.35">
      <c r="B44" s="17"/>
      <c r="C44" s="50"/>
      <c r="D44" s="61"/>
      <c r="E44" s="62"/>
      <c r="F44" s="52"/>
      <c r="G44" s="53"/>
      <c r="H44" s="23" t="s">
        <v>1146</v>
      </c>
      <c r="I44" s="47"/>
      <c r="J44" s="18" t="s">
        <v>1184</v>
      </c>
      <c r="K44" s="62"/>
      <c r="L44" s="52"/>
      <c r="M44" s="53"/>
      <c r="N44" s="23" t="s">
        <v>1146</v>
      </c>
      <c r="O44" s="47"/>
      <c r="P44" s="3"/>
      <c r="Q44" s="29">
        <f t="shared" si="0"/>
        <v>0</v>
      </c>
      <c r="R44" s="30">
        <f t="shared" si="1"/>
        <v>0</v>
      </c>
      <c r="S44" s="30">
        <f t="shared" si="2"/>
        <v>0</v>
      </c>
      <c r="T44" s="30">
        <f t="shared" si="3"/>
        <v>0</v>
      </c>
      <c r="U44" s="30">
        <f t="shared" si="6"/>
        <v>0</v>
      </c>
      <c r="V44" s="30">
        <f t="shared" si="7"/>
        <v>0</v>
      </c>
      <c r="W44" s="31">
        <f>IFERROR(IF(M44&lt;13.5,(1-(-0.5655+0.005414*'phius_monthly climate data'!$H$2+0.01039*M44))*M44,(1-(-0.5864+0.005668*'phius_monthly climate data'!$H$2+0.01029*M44))*M44),"-")*Q44</f>
        <v>0</v>
      </c>
      <c r="X44" s="30">
        <f t="shared" si="8"/>
        <v>0</v>
      </c>
      <c r="Y44" s="30">
        <f t="shared" si="9"/>
        <v>0</v>
      </c>
      <c r="Z44" s="30">
        <f t="shared" si="10"/>
        <v>0</v>
      </c>
      <c r="AA44" s="31">
        <f>IFERROR(IF(M44&lt;13.5,(1-(-0.5655+0.005414*'phius_monthly climate data'!$H$2+0.01039*M44))*M44,(1-(-0.5864+0.005668*'phius_monthly climate data'!$H$2+0.01029*M44))*M44),"-")*R44</f>
        <v>0</v>
      </c>
      <c r="AB44" s="30">
        <f t="shared" si="11"/>
        <v>0</v>
      </c>
      <c r="AC44" s="30">
        <f t="shared" si="4"/>
        <v>0</v>
      </c>
      <c r="AD44" s="30">
        <f t="shared" si="4"/>
        <v>0</v>
      </c>
      <c r="AE44" s="30">
        <f t="shared" si="5"/>
        <v>0</v>
      </c>
      <c r="AF44" s="32">
        <f>IFERROR(IF(I44&lt;8.5,(1-(0.1392+-0.00846*'phius_monthly climate data'!$I$2+-0.0001074*'phius_monthly climate data'!$I$2+0.0228*I44))*I44,(1-(0.1041+-0.008862*'phius_monthly climate data'!$I$2+-0.0001153*'phius_monthly climate data'!$I$2+0.02817*I44))*I44),"-")*T44</f>
        <v>0</v>
      </c>
    </row>
    <row r="45" spans="2:32" ht="17.399999999999999" hidden="1" x14ac:dyDescent="0.35">
      <c r="B45" s="17"/>
      <c r="C45" s="50"/>
      <c r="D45" s="61"/>
      <c r="E45" s="62"/>
      <c r="F45" s="52"/>
      <c r="G45" s="53"/>
      <c r="H45" s="23" t="s">
        <v>1146</v>
      </c>
      <c r="I45" s="47"/>
      <c r="J45" s="18" t="s">
        <v>1184</v>
      </c>
      <c r="K45" s="62"/>
      <c r="L45" s="52"/>
      <c r="M45" s="53"/>
      <c r="N45" s="23" t="s">
        <v>1146</v>
      </c>
      <c r="O45" s="47"/>
      <c r="P45" s="3"/>
      <c r="Q45" s="29">
        <f t="shared" si="0"/>
        <v>0</v>
      </c>
      <c r="R45" s="30">
        <f t="shared" si="1"/>
        <v>0</v>
      </c>
      <c r="S45" s="30">
        <f t="shared" si="2"/>
        <v>0</v>
      </c>
      <c r="T45" s="30">
        <f t="shared" si="3"/>
        <v>0</v>
      </c>
      <c r="U45" s="30">
        <f t="shared" si="6"/>
        <v>0</v>
      </c>
      <c r="V45" s="30">
        <f t="shared" si="7"/>
        <v>0</v>
      </c>
      <c r="W45" s="31">
        <f>IFERROR(IF(M45&lt;13.5,(1-(-0.5655+0.005414*'phius_monthly climate data'!$H$2+0.01039*M45))*M45,(1-(-0.5864+0.005668*'phius_monthly climate data'!$H$2+0.01029*M45))*M45),"-")*Q45</f>
        <v>0</v>
      </c>
      <c r="X45" s="30">
        <f t="shared" si="8"/>
        <v>0</v>
      </c>
      <c r="Y45" s="30">
        <f t="shared" si="9"/>
        <v>0</v>
      </c>
      <c r="Z45" s="30">
        <f t="shared" si="10"/>
        <v>0</v>
      </c>
      <c r="AA45" s="31">
        <f>IFERROR(IF(M45&lt;13.5,(1-(-0.5655+0.005414*'phius_monthly climate data'!$H$2+0.01039*M45))*M45,(1-(-0.5864+0.005668*'phius_monthly climate data'!$H$2+0.01029*M45))*M45),"-")*R45</f>
        <v>0</v>
      </c>
      <c r="AB45" s="30">
        <f t="shared" si="11"/>
        <v>0</v>
      </c>
      <c r="AC45" s="30">
        <f t="shared" si="4"/>
        <v>0</v>
      </c>
      <c r="AD45" s="30">
        <f t="shared" si="4"/>
        <v>0</v>
      </c>
      <c r="AE45" s="30">
        <f t="shared" si="5"/>
        <v>0</v>
      </c>
      <c r="AF45" s="32">
        <f>IFERROR(IF(I45&lt;8.5,(1-(0.1392+-0.00846*'phius_monthly climate data'!$I$2+-0.0001074*'phius_monthly climate data'!$I$2+0.0228*I45))*I45,(1-(0.1041+-0.008862*'phius_monthly climate data'!$I$2+-0.0001153*'phius_monthly climate data'!$I$2+0.02817*I45))*I45),"-")*T45</f>
        <v>0</v>
      </c>
    </row>
    <row r="46" spans="2:32" ht="17.399999999999999" hidden="1" x14ac:dyDescent="0.35">
      <c r="B46" s="17"/>
      <c r="C46" s="50"/>
      <c r="D46" s="61"/>
      <c r="E46" s="62"/>
      <c r="F46" s="52"/>
      <c r="G46" s="53"/>
      <c r="H46" s="23" t="s">
        <v>1146</v>
      </c>
      <c r="I46" s="47"/>
      <c r="J46" s="18" t="s">
        <v>1184</v>
      </c>
      <c r="K46" s="62"/>
      <c r="L46" s="52"/>
      <c r="M46" s="53"/>
      <c r="N46" s="23" t="s">
        <v>1146</v>
      </c>
      <c r="O46" s="47"/>
      <c r="P46" s="3"/>
      <c r="Q46" s="29">
        <f t="shared" si="0"/>
        <v>0</v>
      </c>
      <c r="R46" s="30">
        <f t="shared" si="1"/>
        <v>0</v>
      </c>
      <c r="S46" s="30">
        <f t="shared" si="2"/>
        <v>0</v>
      </c>
      <c r="T46" s="30">
        <f t="shared" si="3"/>
        <v>0</v>
      </c>
      <c r="U46" s="30">
        <f t="shared" si="6"/>
        <v>0</v>
      </c>
      <c r="V46" s="30">
        <f t="shared" si="7"/>
        <v>0</v>
      </c>
      <c r="W46" s="31">
        <f>IFERROR(IF(M46&lt;13.5,(1-(-0.5655+0.005414*'phius_monthly climate data'!$H$2+0.01039*M46))*M46,(1-(-0.5864+0.005668*'phius_monthly climate data'!$H$2+0.01029*M46))*M46),"-")*Q46</f>
        <v>0</v>
      </c>
      <c r="X46" s="30">
        <f t="shared" si="8"/>
        <v>0</v>
      </c>
      <c r="Y46" s="30">
        <f t="shared" si="9"/>
        <v>0</v>
      </c>
      <c r="Z46" s="30">
        <f t="shared" si="10"/>
        <v>0</v>
      </c>
      <c r="AA46" s="31">
        <f>IFERROR(IF(M46&lt;13.5,(1-(-0.5655+0.005414*'phius_monthly climate data'!$H$2+0.01039*M46))*M46,(1-(-0.5864+0.005668*'phius_monthly climate data'!$H$2+0.01029*M46))*M46),"-")*R46</f>
        <v>0</v>
      </c>
      <c r="AB46" s="30">
        <f t="shared" si="11"/>
        <v>0</v>
      </c>
      <c r="AC46" s="30">
        <f t="shared" si="4"/>
        <v>0</v>
      </c>
      <c r="AD46" s="30">
        <f t="shared" si="4"/>
        <v>0</v>
      </c>
      <c r="AE46" s="30">
        <f t="shared" si="5"/>
        <v>0</v>
      </c>
      <c r="AF46" s="32">
        <f>IFERROR(IF(I46&lt;8.5,(1-(0.1392+-0.00846*'phius_monthly climate data'!$I$2+-0.0001074*'phius_monthly climate data'!$I$2+0.0228*I46))*I46,(1-(0.1041+-0.008862*'phius_monthly climate data'!$I$2+-0.0001153*'phius_monthly climate data'!$I$2+0.02817*I46))*I46),"-")*T46</f>
        <v>0</v>
      </c>
    </row>
    <row r="47" spans="2:32" ht="17.399999999999999" hidden="1" x14ac:dyDescent="0.35">
      <c r="B47" s="17"/>
      <c r="C47" s="50"/>
      <c r="D47" s="61"/>
      <c r="E47" s="62"/>
      <c r="F47" s="52"/>
      <c r="G47" s="53"/>
      <c r="H47" s="23" t="s">
        <v>1146</v>
      </c>
      <c r="I47" s="47"/>
      <c r="J47" s="18" t="s">
        <v>1184</v>
      </c>
      <c r="K47" s="62"/>
      <c r="L47" s="52"/>
      <c r="M47" s="53"/>
      <c r="N47" s="23" t="s">
        <v>1146</v>
      </c>
      <c r="O47" s="47"/>
      <c r="P47" s="3"/>
      <c r="Q47" s="29">
        <f t="shared" si="0"/>
        <v>0</v>
      </c>
      <c r="R47" s="30">
        <f t="shared" si="1"/>
        <v>0</v>
      </c>
      <c r="S47" s="30">
        <f t="shared" si="2"/>
        <v>0</v>
      </c>
      <c r="T47" s="30">
        <f t="shared" si="3"/>
        <v>0</v>
      </c>
      <c r="U47" s="30">
        <f t="shared" si="6"/>
        <v>0</v>
      </c>
      <c r="V47" s="30">
        <f t="shared" si="7"/>
        <v>0</v>
      </c>
      <c r="W47" s="31">
        <f>IFERROR(IF(M47&lt;13.5,(1-(-0.5655+0.005414*'phius_monthly climate data'!$H$2+0.01039*M47))*M47,(1-(-0.5864+0.005668*'phius_monthly climate data'!$H$2+0.01029*M47))*M47),"-")*Q47</f>
        <v>0</v>
      </c>
      <c r="X47" s="30">
        <f t="shared" si="8"/>
        <v>0</v>
      </c>
      <c r="Y47" s="30">
        <f t="shared" si="9"/>
        <v>0</v>
      </c>
      <c r="Z47" s="30">
        <f t="shared" si="10"/>
        <v>0</v>
      </c>
      <c r="AA47" s="31">
        <f>IFERROR(IF(M47&lt;13.5,(1-(-0.5655+0.005414*'phius_monthly climate data'!$H$2+0.01039*M47))*M47,(1-(-0.5864+0.005668*'phius_monthly climate data'!$H$2+0.01029*M47))*M47),"-")*R47</f>
        <v>0</v>
      </c>
      <c r="AB47" s="30">
        <f t="shared" si="11"/>
        <v>0</v>
      </c>
      <c r="AC47" s="30">
        <f t="shared" si="4"/>
        <v>0</v>
      </c>
      <c r="AD47" s="30">
        <f t="shared" si="4"/>
        <v>0</v>
      </c>
      <c r="AE47" s="30">
        <f t="shared" si="5"/>
        <v>0</v>
      </c>
      <c r="AF47" s="32">
        <f>IFERROR(IF(I47&lt;8.5,(1-(0.1392+-0.00846*'phius_monthly climate data'!$I$2+-0.0001074*'phius_monthly climate data'!$I$2+0.0228*I47))*I47,(1-(0.1041+-0.008862*'phius_monthly climate data'!$I$2+-0.0001153*'phius_monthly climate data'!$I$2+0.02817*I47))*I47),"-")*T47</f>
        <v>0</v>
      </c>
    </row>
    <row r="48" spans="2:32" ht="17.399999999999999" hidden="1" x14ac:dyDescent="0.35">
      <c r="B48" s="17"/>
      <c r="C48" s="50"/>
      <c r="D48" s="61"/>
      <c r="E48" s="62"/>
      <c r="F48" s="52"/>
      <c r="G48" s="53"/>
      <c r="H48" s="23" t="s">
        <v>1146</v>
      </c>
      <c r="I48" s="47"/>
      <c r="J48" s="18" t="s">
        <v>1184</v>
      </c>
      <c r="K48" s="62"/>
      <c r="L48" s="52"/>
      <c r="M48" s="53"/>
      <c r="N48" s="23" t="s">
        <v>1146</v>
      </c>
      <c r="O48" s="47"/>
      <c r="P48" s="3"/>
      <c r="Q48" s="29">
        <f t="shared" si="0"/>
        <v>0</v>
      </c>
      <c r="R48" s="30">
        <f t="shared" si="1"/>
        <v>0</v>
      </c>
      <c r="S48" s="30">
        <f t="shared" si="2"/>
        <v>0</v>
      </c>
      <c r="T48" s="30">
        <f t="shared" si="3"/>
        <v>0</v>
      </c>
      <c r="U48" s="30">
        <f t="shared" si="6"/>
        <v>0</v>
      </c>
      <c r="V48" s="30">
        <f t="shared" si="7"/>
        <v>0</v>
      </c>
      <c r="W48" s="31">
        <f>IFERROR(IF(M48&lt;13.5,(1-(-0.5655+0.005414*'phius_monthly climate data'!$H$2+0.01039*M48))*M48,(1-(-0.5864+0.005668*'phius_monthly climate data'!$H$2+0.01029*M48))*M48),"-")*Q48</f>
        <v>0</v>
      </c>
      <c r="X48" s="30">
        <f t="shared" si="8"/>
        <v>0</v>
      </c>
      <c r="Y48" s="30">
        <f t="shared" si="9"/>
        <v>0</v>
      </c>
      <c r="Z48" s="30">
        <f t="shared" si="10"/>
        <v>0</v>
      </c>
      <c r="AA48" s="31">
        <f>IFERROR(IF(M48&lt;13.5,(1-(-0.5655+0.005414*'phius_monthly climate data'!$H$2+0.01039*M48))*M48,(1-(-0.5864+0.005668*'phius_monthly climate data'!$H$2+0.01029*M48))*M48),"-")*R48</f>
        <v>0</v>
      </c>
      <c r="AB48" s="30">
        <f t="shared" si="11"/>
        <v>0</v>
      </c>
      <c r="AC48" s="30">
        <f t="shared" si="4"/>
        <v>0</v>
      </c>
      <c r="AD48" s="30">
        <f t="shared" si="4"/>
        <v>0</v>
      </c>
      <c r="AE48" s="30">
        <f t="shared" si="5"/>
        <v>0</v>
      </c>
      <c r="AF48" s="32">
        <f>IFERROR(IF(I48&lt;8.5,(1-(0.1392+-0.00846*'phius_monthly climate data'!$I$2+-0.0001074*'phius_monthly climate data'!$I$2+0.0228*I48))*I48,(1-(0.1041+-0.008862*'phius_monthly climate data'!$I$2+-0.0001153*'phius_monthly climate data'!$I$2+0.02817*I48))*I48),"-")*T48</f>
        <v>0</v>
      </c>
    </row>
    <row r="49" spans="2:32" ht="17.399999999999999" hidden="1" x14ac:dyDescent="0.35">
      <c r="B49" s="17"/>
      <c r="C49" s="50"/>
      <c r="D49" s="61"/>
      <c r="E49" s="62"/>
      <c r="F49" s="52"/>
      <c r="G49" s="53"/>
      <c r="H49" s="23" t="s">
        <v>1146</v>
      </c>
      <c r="I49" s="47"/>
      <c r="J49" s="18" t="s">
        <v>1184</v>
      </c>
      <c r="K49" s="62"/>
      <c r="L49" s="52"/>
      <c r="M49" s="53"/>
      <c r="N49" s="23" t="s">
        <v>1146</v>
      </c>
      <c r="O49" s="47"/>
      <c r="P49" s="3"/>
      <c r="Q49" s="29">
        <f t="shared" si="0"/>
        <v>0</v>
      </c>
      <c r="R49" s="30">
        <f t="shared" si="1"/>
        <v>0</v>
      </c>
      <c r="S49" s="30">
        <f t="shared" si="2"/>
        <v>0</v>
      </c>
      <c r="T49" s="30">
        <f t="shared" si="3"/>
        <v>0</v>
      </c>
      <c r="U49" s="30">
        <f t="shared" si="6"/>
        <v>0</v>
      </c>
      <c r="V49" s="30">
        <f t="shared" si="7"/>
        <v>0</v>
      </c>
      <c r="W49" s="31">
        <f>IFERROR(IF(M49&lt;13.5,(1-(-0.5655+0.005414*'phius_monthly climate data'!$H$2+0.01039*M49))*M49,(1-(-0.5864+0.005668*'phius_monthly climate data'!$H$2+0.01029*M49))*M49),"-")*Q49</f>
        <v>0</v>
      </c>
      <c r="X49" s="30">
        <f t="shared" si="8"/>
        <v>0</v>
      </c>
      <c r="Y49" s="30">
        <f t="shared" si="9"/>
        <v>0</v>
      </c>
      <c r="Z49" s="30">
        <f t="shared" si="10"/>
        <v>0</v>
      </c>
      <c r="AA49" s="31">
        <f>IFERROR(IF(M49&lt;13.5,(1-(-0.5655+0.005414*'phius_monthly climate data'!$H$2+0.01039*M49))*M49,(1-(-0.5864+0.005668*'phius_monthly climate data'!$H$2+0.01029*M49))*M49),"-")*R49</f>
        <v>0</v>
      </c>
      <c r="AB49" s="30">
        <f t="shared" si="11"/>
        <v>0</v>
      </c>
      <c r="AC49" s="30">
        <f t="shared" si="4"/>
        <v>0</v>
      </c>
      <c r="AD49" s="30">
        <f t="shared" si="4"/>
        <v>0</v>
      </c>
      <c r="AE49" s="30">
        <f t="shared" si="5"/>
        <v>0</v>
      </c>
      <c r="AF49" s="32">
        <f>IFERROR(IF(I49&lt;8.5,(1-(0.1392+-0.00846*'phius_monthly climate data'!$I$2+-0.0001074*'phius_monthly climate data'!$I$2+0.0228*I49))*I49,(1-(0.1041+-0.008862*'phius_monthly climate data'!$I$2+-0.0001153*'phius_monthly climate data'!$I$2+0.02817*I49))*I49),"-")*T49</f>
        <v>0</v>
      </c>
    </row>
    <row r="50" spans="2:32" ht="17.399999999999999" hidden="1" x14ac:dyDescent="0.35">
      <c r="B50" s="17"/>
      <c r="C50" s="50"/>
      <c r="D50" s="61"/>
      <c r="E50" s="62"/>
      <c r="F50" s="52"/>
      <c r="G50" s="53"/>
      <c r="H50" s="23" t="s">
        <v>1146</v>
      </c>
      <c r="I50" s="47"/>
      <c r="J50" s="18" t="s">
        <v>1184</v>
      </c>
      <c r="K50" s="62"/>
      <c r="L50" s="52"/>
      <c r="M50" s="53"/>
      <c r="N50" s="23" t="s">
        <v>1146</v>
      </c>
      <c r="O50" s="47"/>
      <c r="P50" s="3"/>
      <c r="Q50" s="29">
        <f t="shared" si="0"/>
        <v>0</v>
      </c>
      <c r="R50" s="30">
        <f t="shared" si="1"/>
        <v>0</v>
      </c>
      <c r="S50" s="30">
        <f t="shared" si="2"/>
        <v>0</v>
      </c>
      <c r="T50" s="30">
        <f t="shared" si="3"/>
        <v>0</v>
      </c>
      <c r="U50" s="30">
        <f t="shared" si="6"/>
        <v>0</v>
      </c>
      <c r="V50" s="30">
        <f t="shared" si="7"/>
        <v>0</v>
      </c>
      <c r="W50" s="31">
        <f>IFERROR(IF(M50&lt;13.5,(1-(-0.5655+0.005414*'phius_monthly climate data'!$H$2+0.01039*M50))*M50,(1-(-0.5864+0.005668*'phius_monthly climate data'!$H$2+0.01029*M50))*M50),"-")*Q50</f>
        <v>0</v>
      </c>
      <c r="X50" s="30">
        <f t="shared" si="8"/>
        <v>0</v>
      </c>
      <c r="Y50" s="30">
        <f t="shared" si="9"/>
        <v>0</v>
      </c>
      <c r="Z50" s="30">
        <f t="shared" si="10"/>
        <v>0</v>
      </c>
      <c r="AA50" s="31">
        <f>IFERROR(IF(M50&lt;13.5,(1-(-0.5655+0.005414*'phius_monthly climate data'!$H$2+0.01039*M50))*M50,(1-(-0.5864+0.005668*'phius_monthly climate data'!$H$2+0.01029*M50))*M50),"-")*R50</f>
        <v>0</v>
      </c>
      <c r="AB50" s="30">
        <f t="shared" si="11"/>
        <v>0</v>
      </c>
      <c r="AC50" s="30">
        <f t="shared" si="4"/>
        <v>0</v>
      </c>
      <c r="AD50" s="30">
        <f t="shared" si="4"/>
        <v>0</v>
      </c>
      <c r="AE50" s="30">
        <f t="shared" si="5"/>
        <v>0</v>
      </c>
      <c r="AF50" s="32">
        <f>IFERROR(IF(I50&lt;8.5,(1-(0.1392+-0.00846*'phius_monthly climate data'!$I$2+-0.0001074*'phius_monthly climate data'!$I$2+0.0228*I50))*I50,(1-(0.1041+-0.008862*'phius_monthly climate data'!$I$2+-0.0001153*'phius_monthly climate data'!$I$2+0.02817*I50))*I50),"-")*T50</f>
        <v>0</v>
      </c>
    </row>
    <row r="51" spans="2:32" ht="17.399999999999999" hidden="1" x14ac:dyDescent="0.35">
      <c r="B51" s="17"/>
      <c r="C51" s="50"/>
      <c r="D51" s="61"/>
      <c r="E51" s="62"/>
      <c r="F51" s="52"/>
      <c r="G51" s="53"/>
      <c r="H51" s="23" t="s">
        <v>1146</v>
      </c>
      <c r="I51" s="47"/>
      <c r="J51" s="18" t="s">
        <v>1184</v>
      </c>
      <c r="K51" s="62"/>
      <c r="L51" s="52"/>
      <c r="M51" s="53"/>
      <c r="N51" s="23" t="s">
        <v>1146</v>
      </c>
      <c r="O51" s="47"/>
      <c r="P51" s="3"/>
      <c r="Q51" s="29">
        <f t="shared" si="0"/>
        <v>0</v>
      </c>
      <c r="R51" s="30">
        <f t="shared" si="1"/>
        <v>0</v>
      </c>
      <c r="S51" s="30">
        <f t="shared" si="2"/>
        <v>0</v>
      </c>
      <c r="T51" s="30">
        <f t="shared" si="3"/>
        <v>0</v>
      </c>
      <c r="U51" s="30">
        <f t="shared" si="6"/>
        <v>0</v>
      </c>
      <c r="V51" s="30">
        <f t="shared" si="7"/>
        <v>0</v>
      </c>
      <c r="W51" s="31">
        <f>IFERROR(IF(M51&lt;13.5,(1-(-0.5655+0.005414*'phius_monthly climate data'!$H$2+0.01039*M51))*M51,(1-(-0.5864+0.005668*'phius_monthly climate data'!$H$2+0.01029*M51))*M51),"-")*Q51</f>
        <v>0</v>
      </c>
      <c r="X51" s="30">
        <f t="shared" si="8"/>
        <v>0</v>
      </c>
      <c r="Y51" s="30">
        <f t="shared" si="9"/>
        <v>0</v>
      </c>
      <c r="Z51" s="30">
        <f t="shared" si="10"/>
        <v>0</v>
      </c>
      <c r="AA51" s="31">
        <f>IFERROR(IF(M51&lt;13.5,(1-(-0.5655+0.005414*'phius_monthly climate data'!$H$2+0.01039*M51))*M51,(1-(-0.5864+0.005668*'phius_monthly climate data'!$H$2+0.01029*M51))*M51),"-")*R51</f>
        <v>0</v>
      </c>
      <c r="AB51" s="30">
        <f t="shared" si="11"/>
        <v>0</v>
      </c>
      <c r="AC51" s="30">
        <f t="shared" si="4"/>
        <v>0</v>
      </c>
      <c r="AD51" s="30">
        <f t="shared" si="4"/>
        <v>0</v>
      </c>
      <c r="AE51" s="30">
        <f t="shared" si="5"/>
        <v>0</v>
      </c>
      <c r="AF51" s="32">
        <f>IFERROR(IF(I51&lt;8.5,(1-(0.1392+-0.00846*'phius_monthly climate data'!$I$2+-0.0001074*'phius_monthly climate data'!$I$2+0.0228*I51))*I51,(1-(0.1041+-0.008862*'phius_monthly climate data'!$I$2+-0.0001153*'phius_monthly climate data'!$I$2+0.02817*I51))*I51),"-")*T51</f>
        <v>0</v>
      </c>
    </row>
    <row r="52" spans="2:32" ht="17.399999999999999" hidden="1" x14ac:dyDescent="0.35">
      <c r="B52" s="17"/>
      <c r="C52" s="50"/>
      <c r="D52" s="61"/>
      <c r="E52" s="62"/>
      <c r="F52" s="52"/>
      <c r="G52" s="53"/>
      <c r="H52" s="23" t="s">
        <v>1146</v>
      </c>
      <c r="I52" s="47"/>
      <c r="J52" s="18" t="s">
        <v>1184</v>
      </c>
      <c r="K52" s="62"/>
      <c r="L52" s="52"/>
      <c r="M52" s="53"/>
      <c r="N52" s="23" t="s">
        <v>1146</v>
      </c>
      <c r="O52" s="47"/>
      <c r="P52" s="3"/>
      <c r="Q52" s="29">
        <f t="shared" si="0"/>
        <v>0</v>
      </c>
      <c r="R52" s="30">
        <f t="shared" si="1"/>
        <v>0</v>
      </c>
      <c r="S52" s="30">
        <f t="shared" si="2"/>
        <v>0</v>
      </c>
      <c r="T52" s="30">
        <f t="shared" si="3"/>
        <v>0</v>
      </c>
      <c r="U52" s="30">
        <f t="shared" si="6"/>
        <v>0</v>
      </c>
      <c r="V52" s="30">
        <f t="shared" si="7"/>
        <v>0</v>
      </c>
      <c r="W52" s="31">
        <f>IFERROR(IF(M52&lt;13.5,(1-(-0.5655+0.005414*'phius_monthly climate data'!$H$2+0.01039*M52))*M52,(1-(-0.5864+0.005668*'phius_monthly climate data'!$H$2+0.01029*M52))*M52),"-")*Q52</f>
        <v>0</v>
      </c>
      <c r="X52" s="30">
        <f t="shared" si="8"/>
        <v>0</v>
      </c>
      <c r="Y52" s="30">
        <f t="shared" si="9"/>
        <v>0</v>
      </c>
      <c r="Z52" s="30">
        <f t="shared" si="10"/>
        <v>0</v>
      </c>
      <c r="AA52" s="31">
        <f>IFERROR(IF(M52&lt;13.5,(1-(-0.5655+0.005414*'phius_monthly climate data'!$H$2+0.01039*M52))*M52,(1-(-0.5864+0.005668*'phius_monthly climate data'!$H$2+0.01029*M52))*M52),"-")*R52</f>
        <v>0</v>
      </c>
      <c r="AB52" s="30">
        <f t="shared" si="11"/>
        <v>0</v>
      </c>
      <c r="AC52" s="30">
        <f t="shared" si="4"/>
        <v>0</v>
      </c>
      <c r="AD52" s="30">
        <f t="shared" si="4"/>
        <v>0</v>
      </c>
      <c r="AE52" s="30">
        <f t="shared" si="5"/>
        <v>0</v>
      </c>
      <c r="AF52" s="32">
        <f>IFERROR(IF(I52&lt;8.5,(1-(0.1392+-0.00846*'phius_monthly climate data'!$I$2+-0.0001074*'phius_monthly climate data'!$I$2+0.0228*I52))*I52,(1-(0.1041+-0.008862*'phius_monthly climate data'!$I$2+-0.0001153*'phius_monthly climate data'!$I$2+0.02817*I52))*I52),"-")*T52</f>
        <v>0</v>
      </c>
    </row>
    <row r="53" spans="2:32" ht="17.399999999999999" hidden="1" x14ac:dyDescent="0.35">
      <c r="B53" s="17"/>
      <c r="C53" s="50"/>
      <c r="D53" s="61"/>
      <c r="E53" s="62"/>
      <c r="F53" s="52"/>
      <c r="G53" s="53"/>
      <c r="H53" s="23" t="s">
        <v>1146</v>
      </c>
      <c r="I53" s="47"/>
      <c r="J53" s="18" t="s">
        <v>1184</v>
      </c>
      <c r="K53" s="62"/>
      <c r="L53" s="52"/>
      <c r="M53" s="53"/>
      <c r="N53" s="23" t="s">
        <v>1146</v>
      </c>
      <c r="O53" s="47"/>
      <c r="P53" s="3"/>
      <c r="Q53" s="29">
        <f t="shared" si="0"/>
        <v>0</v>
      </c>
      <c r="R53" s="30">
        <f t="shared" si="1"/>
        <v>0</v>
      </c>
      <c r="S53" s="30">
        <f t="shared" si="2"/>
        <v>0</v>
      </c>
      <c r="T53" s="30">
        <f t="shared" si="3"/>
        <v>0</v>
      </c>
      <c r="U53" s="30">
        <f t="shared" si="6"/>
        <v>0</v>
      </c>
      <c r="V53" s="30">
        <f t="shared" si="7"/>
        <v>0</v>
      </c>
      <c r="W53" s="31">
        <f>IFERROR(IF(M53&lt;13.5,(1-(-0.5655+0.005414*'phius_monthly climate data'!$H$2+0.01039*M53))*M53,(1-(-0.5864+0.005668*'phius_monthly climate data'!$H$2+0.01029*M53))*M53),"-")*Q53</f>
        <v>0</v>
      </c>
      <c r="X53" s="30">
        <f t="shared" si="8"/>
        <v>0</v>
      </c>
      <c r="Y53" s="30">
        <f t="shared" si="9"/>
        <v>0</v>
      </c>
      <c r="Z53" s="30">
        <f t="shared" si="10"/>
        <v>0</v>
      </c>
      <c r="AA53" s="31">
        <f>IFERROR(IF(M53&lt;13.5,(1-(-0.5655+0.005414*'phius_monthly climate data'!$H$2+0.01039*M53))*M53,(1-(-0.5864+0.005668*'phius_monthly climate data'!$H$2+0.01029*M53))*M53),"-")*R53</f>
        <v>0</v>
      </c>
      <c r="AB53" s="30">
        <f t="shared" si="11"/>
        <v>0</v>
      </c>
      <c r="AC53" s="30">
        <f t="shared" si="4"/>
        <v>0</v>
      </c>
      <c r="AD53" s="30">
        <f t="shared" si="4"/>
        <v>0</v>
      </c>
      <c r="AE53" s="30">
        <f t="shared" si="5"/>
        <v>0</v>
      </c>
      <c r="AF53" s="32">
        <f>IFERROR(IF(I53&lt;8.5,(1-(0.1392+-0.00846*'phius_monthly climate data'!$I$2+-0.0001074*'phius_monthly climate data'!$I$2+0.0228*I53))*I53,(1-(0.1041+-0.008862*'phius_monthly climate data'!$I$2+-0.0001153*'phius_monthly climate data'!$I$2+0.02817*I53))*I53),"-")*T53</f>
        <v>0</v>
      </c>
    </row>
    <row r="54" spans="2:32" ht="17.399999999999999" hidden="1" x14ac:dyDescent="0.35">
      <c r="B54" s="17"/>
      <c r="C54" s="50"/>
      <c r="D54" s="61"/>
      <c r="E54" s="62"/>
      <c r="F54" s="52"/>
      <c r="G54" s="53"/>
      <c r="H54" s="23" t="s">
        <v>1146</v>
      </c>
      <c r="I54" s="47"/>
      <c r="J54" s="18" t="s">
        <v>1184</v>
      </c>
      <c r="K54" s="62"/>
      <c r="L54" s="52"/>
      <c r="M54" s="53"/>
      <c r="N54" s="23" t="s">
        <v>1146</v>
      </c>
      <c r="O54" s="47"/>
      <c r="P54" s="3"/>
      <c r="Q54" s="29">
        <f t="shared" si="0"/>
        <v>0</v>
      </c>
      <c r="R54" s="30">
        <f t="shared" si="1"/>
        <v>0</v>
      </c>
      <c r="S54" s="30">
        <f t="shared" si="2"/>
        <v>0</v>
      </c>
      <c r="T54" s="30">
        <f t="shared" si="3"/>
        <v>0</v>
      </c>
      <c r="U54" s="30">
        <f t="shared" si="6"/>
        <v>0</v>
      </c>
      <c r="V54" s="30">
        <f t="shared" si="7"/>
        <v>0</v>
      </c>
      <c r="W54" s="31">
        <f>IFERROR(IF(M54&lt;13.5,(1-(-0.5655+0.005414*'phius_monthly climate data'!$H$2+0.01039*M54))*M54,(1-(-0.5864+0.005668*'phius_monthly climate data'!$H$2+0.01029*M54))*M54),"-")*Q54</f>
        <v>0</v>
      </c>
      <c r="X54" s="30">
        <f t="shared" si="8"/>
        <v>0</v>
      </c>
      <c r="Y54" s="30">
        <f t="shared" si="9"/>
        <v>0</v>
      </c>
      <c r="Z54" s="30">
        <f t="shared" si="10"/>
        <v>0</v>
      </c>
      <c r="AA54" s="31">
        <f>IFERROR(IF(M54&lt;13.5,(1-(-0.5655+0.005414*'phius_monthly climate data'!$H$2+0.01039*M54))*M54,(1-(-0.5864+0.005668*'phius_monthly climate data'!$H$2+0.01029*M54))*M54),"-")*R54</f>
        <v>0</v>
      </c>
      <c r="AB54" s="30">
        <f t="shared" si="11"/>
        <v>0</v>
      </c>
      <c r="AC54" s="30">
        <f t="shared" si="4"/>
        <v>0</v>
      </c>
      <c r="AD54" s="30">
        <f t="shared" si="4"/>
        <v>0</v>
      </c>
      <c r="AE54" s="30">
        <f t="shared" si="5"/>
        <v>0</v>
      </c>
      <c r="AF54" s="32">
        <f>IFERROR(IF(I54&lt;8.5,(1-(0.1392+-0.00846*'phius_monthly climate data'!$I$2+-0.0001074*'phius_monthly climate data'!$I$2+0.0228*I54))*I54,(1-(0.1041+-0.008862*'phius_monthly climate data'!$I$2+-0.0001153*'phius_monthly climate data'!$I$2+0.02817*I54))*I54),"-")*T54</f>
        <v>0</v>
      </c>
    </row>
    <row r="55" spans="2:32" ht="17.399999999999999" hidden="1" x14ac:dyDescent="0.35">
      <c r="B55" s="17"/>
      <c r="C55" s="50"/>
      <c r="D55" s="61"/>
      <c r="E55" s="62"/>
      <c r="F55" s="52"/>
      <c r="G55" s="53"/>
      <c r="H55" s="23" t="s">
        <v>1146</v>
      </c>
      <c r="I55" s="47"/>
      <c r="J55" s="18" t="s">
        <v>1184</v>
      </c>
      <c r="K55" s="62"/>
      <c r="L55" s="52"/>
      <c r="M55" s="53"/>
      <c r="N55" s="23" t="s">
        <v>1146</v>
      </c>
      <c r="O55" s="47"/>
      <c r="P55" s="3"/>
      <c r="Q55" s="29">
        <f t="shared" si="0"/>
        <v>0</v>
      </c>
      <c r="R55" s="30">
        <f t="shared" si="1"/>
        <v>0</v>
      </c>
      <c r="S55" s="30">
        <f t="shared" si="2"/>
        <v>0</v>
      </c>
      <c r="T55" s="30">
        <f t="shared" si="3"/>
        <v>0</v>
      </c>
      <c r="U55" s="30">
        <f t="shared" si="6"/>
        <v>0</v>
      </c>
      <c r="V55" s="30">
        <f t="shared" si="7"/>
        <v>0</v>
      </c>
      <c r="W55" s="31">
        <f>IFERROR(IF(M55&lt;13.5,(1-(-0.5655+0.005414*'phius_monthly climate data'!$H$2+0.01039*M55))*M55,(1-(-0.5864+0.005668*'phius_monthly climate data'!$H$2+0.01029*M55))*M55),"-")*Q55</f>
        <v>0</v>
      </c>
      <c r="X55" s="30">
        <f t="shared" si="8"/>
        <v>0</v>
      </c>
      <c r="Y55" s="30">
        <f t="shared" si="9"/>
        <v>0</v>
      </c>
      <c r="Z55" s="30">
        <f t="shared" si="10"/>
        <v>0</v>
      </c>
      <c r="AA55" s="31">
        <f>IFERROR(IF(M55&lt;13.5,(1-(-0.5655+0.005414*'phius_monthly climate data'!$H$2+0.01039*M55))*M55,(1-(-0.5864+0.005668*'phius_monthly climate data'!$H$2+0.01029*M55))*M55),"-")*R55</f>
        <v>0</v>
      </c>
      <c r="AB55" s="30">
        <f t="shared" si="11"/>
        <v>0</v>
      </c>
      <c r="AC55" s="30">
        <f t="shared" si="4"/>
        <v>0</v>
      </c>
      <c r="AD55" s="30">
        <f t="shared" si="4"/>
        <v>0</v>
      </c>
      <c r="AE55" s="30">
        <f t="shared" si="5"/>
        <v>0</v>
      </c>
      <c r="AF55" s="32">
        <f>IFERROR(IF(I55&lt;8.5,(1-(0.1392+-0.00846*'phius_monthly climate data'!$I$2+-0.0001074*'phius_monthly climate data'!$I$2+0.0228*I55))*I55,(1-(0.1041+-0.008862*'phius_monthly climate data'!$I$2+-0.0001153*'phius_monthly climate data'!$I$2+0.02817*I55))*I55),"-")*T55</f>
        <v>0</v>
      </c>
    </row>
    <row r="56" spans="2:32" ht="17.399999999999999" hidden="1" x14ac:dyDescent="0.35">
      <c r="B56" s="17"/>
      <c r="C56" s="50"/>
      <c r="D56" s="61"/>
      <c r="E56" s="62"/>
      <c r="F56" s="52"/>
      <c r="G56" s="53"/>
      <c r="H56" s="23" t="s">
        <v>1146</v>
      </c>
      <c r="I56" s="47"/>
      <c r="J56" s="18" t="s">
        <v>1184</v>
      </c>
      <c r="K56" s="62"/>
      <c r="L56" s="52"/>
      <c r="M56" s="53"/>
      <c r="N56" s="23" t="s">
        <v>1146</v>
      </c>
      <c r="O56" s="47"/>
      <c r="P56" s="3"/>
      <c r="Q56" s="29">
        <f t="shared" si="0"/>
        <v>0</v>
      </c>
      <c r="R56" s="30">
        <f t="shared" si="1"/>
        <v>0</v>
      </c>
      <c r="S56" s="30">
        <f t="shared" si="2"/>
        <v>0</v>
      </c>
      <c r="T56" s="30">
        <f t="shared" si="3"/>
        <v>0</v>
      </c>
      <c r="U56" s="30">
        <f t="shared" si="6"/>
        <v>0</v>
      </c>
      <c r="V56" s="30">
        <f t="shared" si="7"/>
        <v>0</v>
      </c>
      <c r="W56" s="31">
        <f>IFERROR(IF(M56&lt;13.5,(1-(-0.5655+0.005414*'phius_monthly climate data'!$H$2+0.01039*M56))*M56,(1-(-0.5864+0.005668*'phius_monthly climate data'!$H$2+0.01029*M56))*M56),"-")*Q56</f>
        <v>0</v>
      </c>
      <c r="X56" s="30">
        <f t="shared" si="8"/>
        <v>0</v>
      </c>
      <c r="Y56" s="30">
        <f t="shared" si="9"/>
        <v>0</v>
      </c>
      <c r="Z56" s="30">
        <f t="shared" si="10"/>
        <v>0</v>
      </c>
      <c r="AA56" s="31">
        <f>IFERROR(IF(M56&lt;13.5,(1-(-0.5655+0.005414*'phius_monthly climate data'!$H$2+0.01039*M56))*M56,(1-(-0.5864+0.005668*'phius_monthly climate data'!$H$2+0.01029*M56))*M56),"-")*R56</f>
        <v>0</v>
      </c>
      <c r="AB56" s="30">
        <f t="shared" si="11"/>
        <v>0</v>
      </c>
      <c r="AC56" s="30">
        <f t="shared" si="4"/>
        <v>0</v>
      </c>
      <c r="AD56" s="30">
        <f t="shared" si="4"/>
        <v>0</v>
      </c>
      <c r="AE56" s="30">
        <f t="shared" si="5"/>
        <v>0</v>
      </c>
      <c r="AF56" s="32">
        <f>IFERROR(IF(I56&lt;8.5,(1-(0.1392+-0.00846*'phius_monthly climate data'!$I$2+-0.0001074*'phius_monthly climate data'!$I$2+0.0228*I56))*I56,(1-(0.1041+-0.008862*'phius_monthly climate data'!$I$2+-0.0001153*'phius_monthly climate data'!$I$2+0.02817*I56))*I56),"-")*T56</f>
        <v>0</v>
      </c>
    </row>
    <row r="57" spans="2:32" ht="17.399999999999999" hidden="1" x14ac:dyDescent="0.35">
      <c r="B57" s="17"/>
      <c r="C57" s="50"/>
      <c r="D57" s="61"/>
      <c r="E57" s="62"/>
      <c r="F57" s="52"/>
      <c r="G57" s="53"/>
      <c r="H57" s="23" t="s">
        <v>1146</v>
      </c>
      <c r="I57" s="47"/>
      <c r="J57" s="18" t="s">
        <v>1184</v>
      </c>
      <c r="K57" s="62"/>
      <c r="L57" s="52"/>
      <c r="M57" s="53"/>
      <c r="N57" s="23" t="s">
        <v>1146</v>
      </c>
      <c r="O57" s="47"/>
      <c r="P57" s="3"/>
      <c r="Q57" s="29">
        <f t="shared" si="0"/>
        <v>0</v>
      </c>
      <c r="R57" s="30">
        <f t="shared" si="1"/>
        <v>0</v>
      </c>
      <c r="S57" s="30">
        <f t="shared" si="2"/>
        <v>0</v>
      </c>
      <c r="T57" s="30">
        <f t="shared" si="3"/>
        <v>0</v>
      </c>
      <c r="U57" s="30">
        <f t="shared" si="6"/>
        <v>0</v>
      </c>
      <c r="V57" s="30">
        <f t="shared" si="7"/>
        <v>0</v>
      </c>
      <c r="W57" s="31">
        <f>IFERROR(IF(M57&lt;13.5,(1-(-0.5655+0.005414*'phius_monthly climate data'!$H$2+0.01039*M57))*M57,(1-(-0.5864+0.005668*'phius_monthly climate data'!$H$2+0.01029*M57))*M57),"-")*Q57</f>
        <v>0</v>
      </c>
      <c r="X57" s="30">
        <f t="shared" si="8"/>
        <v>0</v>
      </c>
      <c r="Y57" s="30">
        <f t="shared" si="9"/>
        <v>0</v>
      </c>
      <c r="Z57" s="30">
        <f t="shared" si="10"/>
        <v>0</v>
      </c>
      <c r="AA57" s="31">
        <f>IFERROR(IF(M57&lt;13.5,(1-(-0.5655+0.005414*'phius_monthly climate data'!$H$2+0.01039*M57))*M57,(1-(-0.5864+0.005668*'phius_monthly climate data'!$H$2+0.01029*M57))*M57),"-")*R57</f>
        <v>0</v>
      </c>
      <c r="AB57" s="30">
        <f t="shared" si="11"/>
        <v>0</v>
      </c>
      <c r="AC57" s="30">
        <f t="shared" si="4"/>
        <v>0</v>
      </c>
      <c r="AD57" s="30">
        <f t="shared" si="4"/>
        <v>0</v>
      </c>
      <c r="AE57" s="30">
        <f t="shared" si="5"/>
        <v>0</v>
      </c>
      <c r="AF57" s="32">
        <f>IFERROR(IF(I57&lt;8.5,(1-(0.1392+-0.00846*'phius_monthly climate data'!$I$2+-0.0001074*'phius_monthly climate data'!$I$2+0.0228*I57))*I57,(1-(0.1041+-0.008862*'phius_monthly climate data'!$I$2+-0.0001153*'phius_monthly climate data'!$I$2+0.02817*I57))*I57),"-")*T57</f>
        <v>0</v>
      </c>
    </row>
    <row r="58" spans="2:32" ht="18" hidden="1" thickBot="1" x14ac:dyDescent="0.4">
      <c r="B58" s="14"/>
      <c r="C58" s="51"/>
      <c r="D58" s="63"/>
      <c r="E58" s="64"/>
      <c r="F58" s="57"/>
      <c r="G58" s="58"/>
      <c r="H58" s="24" t="s">
        <v>1146</v>
      </c>
      <c r="I58" s="48"/>
      <c r="J58" s="19" t="s">
        <v>1184</v>
      </c>
      <c r="K58" s="64"/>
      <c r="L58" s="57"/>
      <c r="M58" s="58"/>
      <c r="N58" s="24" t="s">
        <v>1146</v>
      </c>
      <c r="O58" s="48"/>
      <c r="P58" s="3"/>
      <c r="Q58" s="33">
        <f t="shared" si="0"/>
        <v>0</v>
      </c>
      <c r="R58" s="34">
        <f t="shared" si="1"/>
        <v>0</v>
      </c>
      <c r="S58" s="34">
        <f t="shared" si="2"/>
        <v>0</v>
      </c>
      <c r="T58" s="34">
        <f t="shared" si="3"/>
        <v>0</v>
      </c>
      <c r="U58" s="34">
        <f t="shared" si="6"/>
        <v>0</v>
      </c>
      <c r="V58" s="34">
        <f t="shared" si="7"/>
        <v>0</v>
      </c>
      <c r="W58" s="35">
        <f>IFERROR(IF(M58&lt;13.5,(1-(-0.5655+0.005414*'phius_monthly climate data'!$H$2+0.01039*M58))*M58,(1-(-0.5864+0.005668*'phius_monthly climate data'!$H$2+0.01029*M58))*M58),"-")*Q58</f>
        <v>0</v>
      </c>
      <c r="X58" s="34">
        <f t="shared" si="8"/>
        <v>0</v>
      </c>
      <c r="Y58" s="34">
        <f t="shared" si="9"/>
        <v>0</v>
      </c>
      <c r="Z58" s="34">
        <f t="shared" si="10"/>
        <v>0</v>
      </c>
      <c r="AA58" s="35">
        <f>IFERROR(IF(M58&lt;13.5,(1-(-0.5655+0.005414*'phius_monthly climate data'!$H$2+0.01039*M58))*M58,(1-(-0.5864+0.005668*'phius_monthly climate data'!$H$2+0.01029*M58))*M58),"-")*R58</f>
        <v>0</v>
      </c>
      <c r="AB58" s="34">
        <f t="shared" si="11"/>
        <v>0</v>
      </c>
      <c r="AC58" s="34">
        <f t="shared" si="4"/>
        <v>0</v>
      </c>
      <c r="AD58" s="34">
        <f t="shared" si="4"/>
        <v>0</v>
      </c>
      <c r="AE58" s="34">
        <f t="shared" si="5"/>
        <v>0</v>
      </c>
      <c r="AF58" s="36">
        <f>IFERROR(IF(I58&lt;8.5,(1-(0.1392+-0.00846*'phius_monthly climate data'!$I$2+-0.0001074*'phius_monthly climate data'!$I$2+0.0228*I58))*I58,(1-(0.1041+-0.008862*'phius_monthly climate data'!$I$2+-0.0001153*'phius_monthly climate data'!$I$2+0.02817*I58))*I58),"-")*T58</f>
        <v>0</v>
      </c>
    </row>
    <row r="59" spans="2:32" hidden="1" x14ac:dyDescent="0.35"/>
    <row r="60" spans="2:32" hidden="1" x14ac:dyDescent="0.35"/>
    <row r="61" spans="2:32" hidden="1" x14ac:dyDescent="0.35"/>
    <row r="62" spans="2:32" hidden="1" x14ac:dyDescent="0.35"/>
    <row r="63" spans="2:32" hidden="1" x14ac:dyDescent="0.35"/>
    <row r="64" spans="2:32" hidden="1" x14ac:dyDescent="0.35"/>
    <row r="65" hidden="1" x14ac:dyDescent="0.35"/>
    <row r="66" hidden="1" x14ac:dyDescent="0.35"/>
    <row r="67" hidden="1" x14ac:dyDescent="0.35"/>
    <row r="68" hidden="1" x14ac:dyDescent="0.35"/>
    <row r="69" hidden="1" x14ac:dyDescent="0.35"/>
    <row r="70" hidden="1" x14ac:dyDescent="0.35"/>
    <row r="71" hidden="1" x14ac:dyDescent="0.35"/>
    <row r="72" hidden="1" x14ac:dyDescent="0.35"/>
    <row r="73" hidden="1" x14ac:dyDescent="0.35"/>
    <row r="74" hidden="1" x14ac:dyDescent="0.35"/>
    <row r="75" hidden="1" x14ac:dyDescent="0.35"/>
    <row r="76" hidden="1" x14ac:dyDescent="0.35"/>
    <row r="77" hidden="1" x14ac:dyDescent="0.35"/>
    <row r="78" hidden="1" x14ac:dyDescent="0.35"/>
    <row r="79" hidden="1" x14ac:dyDescent="0.35"/>
    <row r="80" hidden="1" x14ac:dyDescent="0.35"/>
    <row r="81" hidden="1" x14ac:dyDescent="0.35"/>
    <row r="82" hidden="1" x14ac:dyDescent="0.35"/>
    <row r="83" hidden="1" x14ac:dyDescent="0.35"/>
    <row r="84" hidden="1" x14ac:dyDescent="0.35"/>
    <row r="85" hidden="1" x14ac:dyDescent="0.35"/>
    <row r="86" hidden="1" x14ac:dyDescent="0.35"/>
    <row r="87" hidden="1" x14ac:dyDescent="0.35"/>
    <row r="88" hidden="1" x14ac:dyDescent="0.35"/>
    <row r="89" hidden="1" x14ac:dyDescent="0.35"/>
    <row r="90" hidden="1" x14ac:dyDescent="0.35"/>
    <row r="91" hidden="1" x14ac:dyDescent="0.35"/>
    <row r="92" hidden="1" x14ac:dyDescent="0.35"/>
    <row r="93" hidden="1" x14ac:dyDescent="0.35"/>
    <row r="94" hidden="1" x14ac:dyDescent="0.35"/>
    <row r="95" hidden="1" x14ac:dyDescent="0.35"/>
    <row r="96" hidden="1" x14ac:dyDescent="0.35"/>
    <row r="97" hidden="1" x14ac:dyDescent="0.35"/>
    <row r="98" hidden="1" x14ac:dyDescent="0.35"/>
    <row r="99" hidden="1" x14ac:dyDescent="0.35"/>
    <row r="100" hidden="1" x14ac:dyDescent="0.35"/>
    <row r="101" hidden="1" x14ac:dyDescent="0.35"/>
    <row r="102" hidden="1" x14ac:dyDescent="0.35"/>
    <row r="103" hidden="1" x14ac:dyDescent="0.35"/>
    <row r="104" hidden="1" x14ac:dyDescent="0.35"/>
    <row r="105" hidden="1" x14ac:dyDescent="0.35"/>
    <row r="106" hidden="1" x14ac:dyDescent="0.35"/>
    <row r="107" hidden="1" x14ac:dyDescent="0.35"/>
    <row r="108" hidden="1" x14ac:dyDescent="0.35"/>
    <row r="109" hidden="1" x14ac:dyDescent="0.35"/>
    <row r="110" hidden="1" x14ac:dyDescent="0.35"/>
    <row r="111" hidden="1" x14ac:dyDescent="0.35"/>
    <row r="112" hidden="1" x14ac:dyDescent="0.35"/>
    <row r="113" hidden="1" x14ac:dyDescent="0.35"/>
    <row r="114" hidden="1" x14ac:dyDescent="0.35"/>
    <row r="115" hidden="1" x14ac:dyDescent="0.35"/>
    <row r="116" hidden="1" x14ac:dyDescent="0.35"/>
    <row r="117" hidden="1" x14ac:dyDescent="0.35"/>
    <row r="118" hidden="1" x14ac:dyDescent="0.35"/>
    <row r="119" hidden="1" x14ac:dyDescent="0.35"/>
    <row r="120" hidden="1" x14ac:dyDescent="0.35"/>
    <row r="121" hidden="1" x14ac:dyDescent="0.35"/>
    <row r="122" hidden="1" x14ac:dyDescent="0.35"/>
    <row r="123" hidden="1" x14ac:dyDescent="0.35"/>
  </sheetData>
  <mergeCells count="50">
    <mergeCell ref="E13:O13"/>
    <mergeCell ref="B2:D3"/>
    <mergeCell ref="E2:I2"/>
    <mergeCell ref="J2:K2"/>
    <mergeCell ref="L2:O2"/>
    <mergeCell ref="E3:I3"/>
    <mergeCell ref="J3:K3"/>
    <mergeCell ref="L3:O3"/>
    <mergeCell ref="B5:O5"/>
    <mergeCell ref="E6:O9"/>
    <mergeCell ref="B11:O11"/>
    <mergeCell ref="B12:C12"/>
    <mergeCell ref="E12:O12"/>
    <mergeCell ref="E23:O26"/>
    <mergeCell ref="E14:O14"/>
    <mergeCell ref="E15:O15"/>
    <mergeCell ref="B16:C16"/>
    <mergeCell ref="E16:O16"/>
    <mergeCell ref="E17:O17"/>
    <mergeCell ref="E18:O18"/>
    <mergeCell ref="E19:O19"/>
    <mergeCell ref="E20:O20"/>
    <mergeCell ref="E21:O21"/>
    <mergeCell ref="B22:C22"/>
    <mergeCell ref="E22:O22"/>
    <mergeCell ref="L31:L32"/>
    <mergeCell ref="B28:O28"/>
    <mergeCell ref="Q28:AF28"/>
    <mergeCell ref="B29:C29"/>
    <mergeCell ref="D29:O29"/>
    <mergeCell ref="Q29:AF29"/>
    <mergeCell ref="B30:B32"/>
    <mergeCell ref="C30:C32"/>
    <mergeCell ref="D30:I30"/>
    <mergeCell ref="J30:O30"/>
    <mergeCell ref="Q30:AF30"/>
    <mergeCell ref="D31:E31"/>
    <mergeCell ref="F31:G31"/>
    <mergeCell ref="H31:H32"/>
    <mergeCell ref="I31:I32"/>
    <mergeCell ref="J31:J32"/>
    <mergeCell ref="AC31:AD31"/>
    <mergeCell ref="AE31:AE32"/>
    <mergeCell ref="AF31:AF32"/>
    <mergeCell ref="M31:M32"/>
    <mergeCell ref="N31:N32"/>
    <mergeCell ref="O31:O32"/>
    <mergeCell ref="Q31:T31"/>
    <mergeCell ref="U31:X31"/>
    <mergeCell ref="Y31:AB31"/>
  </mergeCells>
  <conditionalFormatting sqref="C8:D9">
    <cfRule type="expression" dxfId="6" priority="7">
      <formula>$B$7="Typical"</formula>
    </cfRule>
  </conditionalFormatting>
  <conditionalFormatting sqref="F33:F58">
    <cfRule type="expression" dxfId="5" priority="4">
      <formula>ISBLANK(I33)</formula>
    </cfRule>
  </conditionalFormatting>
  <conditionalFormatting sqref="G33:G58">
    <cfRule type="expression" dxfId="4" priority="3">
      <formula>ISBLANK(I33)</formula>
    </cfRule>
  </conditionalFormatting>
  <conditionalFormatting sqref="I33:I58">
    <cfRule type="expression" dxfId="3" priority="5">
      <formula>AND(ISBLANK(F33),ISBLANK(G33))</formula>
    </cfRule>
  </conditionalFormatting>
  <conditionalFormatting sqref="L33:L58">
    <cfRule type="expression" dxfId="2" priority="2">
      <formula>ISBLANK(O33)</formula>
    </cfRule>
  </conditionalFormatting>
  <conditionalFormatting sqref="M33:M58">
    <cfRule type="expression" dxfId="1" priority="1">
      <formula>ISBLANK(O33)</formula>
    </cfRule>
  </conditionalFormatting>
  <conditionalFormatting sqref="O33:O58">
    <cfRule type="expression" dxfId="0" priority="6">
      <formula>AND(ISBLANK(L33),ISBLANK(M33))</formula>
    </cfRule>
  </conditionalFormatting>
  <dataValidations count="4">
    <dataValidation type="list" allowBlank="1" showInputMessage="1" showErrorMessage="1" sqref="B7" xr:uid="{5EA5BD52-CD92-4A32-A253-BC3CE5FA8669}">
      <formula1>"Typical, Custom"</formula1>
    </dataValidation>
    <dataValidation type="decimal" allowBlank="1" showInputMessage="1" showErrorMessage="1" sqref="C9:D9" xr:uid="{4AA658F8-B60E-4AD2-BDC6-A344D143BB2A}">
      <formula1>-20</formula1>
      <formula2>120</formula2>
    </dataValidation>
    <dataValidation type="list" allowBlank="1" showInputMessage="1" showErrorMessage="1" sqref="J33:J58" xr:uid="{3E2FF6A8-37F8-4833-AD63-2E86A669EFB6}">
      <formula1>"Recirculation Air, Ventilation Air, Select"</formula1>
    </dataValidation>
    <dataValidation type="list" allowBlank="1" showInputMessage="1" sqref="C7" xr:uid="{792C6209-5186-46FB-B0B6-7D72E7BC961E}">
      <formula1>"USA, Canada"</formula1>
    </dataValidation>
  </dataValidations>
  <pageMargins left="0.7" right="0.7" top="0.75" bottom="0.75" header="0.3" footer="0.3"/>
  <pageSetup orientation="portrait" horizontalDpi="4294967293" verticalDpi="4294967293" r:id="rId1"/>
  <drawing r:id="rId2"/>
  <extLst>
    <ext xmlns:x14="http://schemas.microsoft.com/office/spreadsheetml/2009/9/main" uri="{CCE6A557-97BC-4b89-ADB6-D9C93CAAB3DF}">
      <x14:dataValidations xmlns:xm="http://schemas.microsoft.com/office/excel/2006/main" count="2">
        <x14:dataValidation type="list" allowBlank="1" showInputMessage="1" xr:uid="{0F1BBAF9-C4D5-467B-8070-C765DD83A33F}">
          <x14:formula1>
            <xm:f>'phius_monthly climate data'!$H$4:$H$59</xm:f>
          </x14:formula1>
          <xm:sqref>D7</xm:sqref>
        </x14:dataValidation>
        <x14:dataValidation type="list" allowBlank="1" showInputMessage="1" xr:uid="{7DFEE450-3771-40E9-87A6-FB8E2B417B1D}">
          <x14:formula1>
            <xm:f>'phius_monthly climate data'!$I$4:$I$74</xm:f>
          </x14:formula1>
          <xm:sqref>B9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3E0EE0-6B51-4D64-85E8-1FF1F3E4FFE8}">
  <dimension ref="A1:CH1096"/>
  <sheetViews>
    <sheetView zoomScaleNormal="100" workbookViewId="0">
      <pane xSplit="1" ySplit="3" topLeftCell="B4" activePane="bottomRight" state="frozen"/>
      <selection pane="topRight" activeCell="B1" sqref="B1"/>
      <selection pane="bottomLeft" activeCell="A4" sqref="A4"/>
      <selection pane="bottomRight" activeCell="C1026" sqref="C1026"/>
    </sheetView>
  </sheetViews>
  <sheetFormatPr defaultColWidth="9.109375" defaultRowHeight="15.6" x14ac:dyDescent="0.35"/>
  <cols>
    <col min="1" max="2" width="9.109375" style="211"/>
    <col min="3" max="3" width="22.33203125" style="216" customWidth="1"/>
    <col min="4" max="5" width="9.109375" style="216"/>
    <col min="6" max="6" width="10.6640625" style="211" bestFit="1" customWidth="1"/>
    <col min="7" max="7" width="8.6640625" style="218" bestFit="1" customWidth="1"/>
    <col min="8" max="8" width="14.33203125" style="218" bestFit="1" customWidth="1"/>
    <col min="9" max="9" width="13.88671875" style="218" customWidth="1"/>
    <col min="10" max="14" width="13.33203125" style="221" customWidth="1"/>
    <col min="15" max="69" width="9.109375" style="221"/>
    <col min="70" max="70" width="9.33203125" style="221" customWidth="1"/>
    <col min="71" max="71" width="10.109375" style="221" customWidth="1"/>
    <col min="72" max="72" width="9.6640625" style="221" customWidth="1"/>
    <col min="73" max="74" width="9.109375" style="221"/>
    <col min="75" max="75" width="7.77734375" style="221" customWidth="1"/>
    <col min="76" max="80" width="9.109375" style="221"/>
    <col min="81" max="81" width="9.109375" style="216"/>
    <col min="82" max="85" width="8.88671875" style="215" customWidth="1"/>
    <col min="86" max="16384" width="9.109375" style="216"/>
  </cols>
  <sheetData>
    <row r="1" spans="1:86" s="210" customFormat="1" ht="46.8" x14ac:dyDescent="0.35">
      <c r="C1" s="211">
        <v>1</v>
      </c>
      <c r="D1" s="212">
        <v>2</v>
      </c>
      <c r="E1" s="212">
        <v>3</v>
      </c>
      <c r="F1" s="210">
        <v>15</v>
      </c>
      <c r="G1" s="213"/>
      <c r="H1" s="213" t="s">
        <v>1132</v>
      </c>
      <c r="I1" s="213" t="s">
        <v>1131</v>
      </c>
      <c r="J1" s="214"/>
      <c r="K1" s="214"/>
      <c r="L1" s="214"/>
      <c r="M1" s="214"/>
      <c r="N1" s="214">
        <v>73</v>
      </c>
      <c r="O1" s="214">
        <v>14</v>
      </c>
      <c r="P1" s="214">
        <v>17</v>
      </c>
      <c r="Q1" s="214">
        <v>18</v>
      </c>
      <c r="R1" s="214"/>
      <c r="S1" s="214"/>
      <c r="T1" s="214">
        <v>73</v>
      </c>
      <c r="U1" s="214">
        <v>25</v>
      </c>
      <c r="V1" s="214">
        <v>7</v>
      </c>
      <c r="W1" s="214"/>
      <c r="X1" s="214">
        <v>2</v>
      </c>
      <c r="Y1" s="214">
        <v>40</v>
      </c>
      <c r="Z1" s="214">
        <v>19</v>
      </c>
      <c r="AA1" s="214">
        <v>9</v>
      </c>
      <c r="AB1" s="214">
        <v>39</v>
      </c>
      <c r="AC1" s="214">
        <v>10</v>
      </c>
      <c r="AD1" s="214">
        <v>19</v>
      </c>
      <c r="AE1" s="214">
        <v>10</v>
      </c>
      <c r="AF1" s="214">
        <v>23</v>
      </c>
      <c r="AG1" s="214">
        <v>12</v>
      </c>
      <c r="AH1" s="214">
        <v>15</v>
      </c>
      <c r="AI1" s="214">
        <v>15</v>
      </c>
      <c r="AJ1" s="214"/>
      <c r="AK1" s="214">
        <v>5</v>
      </c>
      <c r="AL1" s="214">
        <v>14</v>
      </c>
      <c r="AM1" s="214">
        <v>31</v>
      </c>
      <c r="AN1" s="214">
        <v>54</v>
      </c>
      <c r="AO1" s="214">
        <v>16</v>
      </c>
      <c r="AP1" s="214">
        <v>13</v>
      </c>
      <c r="AQ1" s="214">
        <v>16</v>
      </c>
      <c r="AR1" s="214"/>
      <c r="AS1" s="214">
        <v>21</v>
      </c>
      <c r="AT1" s="214">
        <v>10</v>
      </c>
      <c r="AU1" s="214">
        <v>26</v>
      </c>
      <c r="AV1" s="214"/>
      <c r="AW1" s="214">
        <v>8</v>
      </c>
      <c r="AX1" s="214">
        <v>9</v>
      </c>
      <c r="AY1" s="214">
        <v>17</v>
      </c>
      <c r="AZ1" s="214"/>
      <c r="BA1" s="214"/>
      <c r="BB1" s="214"/>
      <c r="BC1" s="214">
        <v>10</v>
      </c>
      <c r="BD1" s="214">
        <v>24</v>
      </c>
      <c r="BE1" s="214">
        <v>12</v>
      </c>
      <c r="BF1" s="214">
        <v>15</v>
      </c>
      <c r="BG1" s="214"/>
      <c r="BH1" s="214">
        <v>19</v>
      </c>
      <c r="BI1" s="214">
        <v>21</v>
      </c>
      <c r="BJ1" s="214"/>
      <c r="BK1" s="214"/>
      <c r="BL1" s="214">
        <v>3</v>
      </c>
      <c r="BM1" s="214"/>
      <c r="BN1" s="214">
        <v>10</v>
      </c>
      <c r="BO1" s="214">
        <v>11</v>
      </c>
      <c r="BP1" s="214"/>
      <c r="BQ1" s="214">
        <v>8</v>
      </c>
      <c r="BR1" s="214">
        <v>60</v>
      </c>
      <c r="BS1" s="214">
        <v>12</v>
      </c>
      <c r="BT1" s="214">
        <v>30</v>
      </c>
      <c r="BU1" s="214"/>
      <c r="BV1" s="214">
        <v>4</v>
      </c>
      <c r="BW1" s="214">
        <v>27</v>
      </c>
      <c r="BX1" s="214">
        <v>19</v>
      </c>
      <c r="BY1" s="214">
        <v>11</v>
      </c>
      <c r="BZ1" s="214">
        <v>13</v>
      </c>
      <c r="CA1" s="214"/>
      <c r="CB1" s="214"/>
      <c r="CD1" s="215"/>
      <c r="CE1" s="215"/>
      <c r="CF1" s="215"/>
      <c r="CG1" s="215"/>
    </row>
    <row r="2" spans="1:86" x14ac:dyDescent="0.35">
      <c r="D2" s="217"/>
      <c r="E2" s="217"/>
      <c r="G2" s="218" t="str">
        <f>'Air Source Heat Pump(s)'!B9</f>
        <v>CHICAGO OHARE INTL AP</v>
      </c>
      <c r="H2" s="218">
        <f>IF('Air Source Heat Pump(s)'!B7="Typical", VLOOKUP($G$2,$C:$F,D1,FALSE), 'Air Source Heat Pump(s)'!D9)</f>
        <v>88.5</v>
      </c>
      <c r="I2" s="218">
        <f>IF('Air Source Heat Pump(s)'!B7="Typical", VLOOKUP($G$2,$C:$F,E1,FALSE), 'Air Source Heat Pump(s)'!C9)</f>
        <v>4.4000000000000004</v>
      </c>
      <c r="J2" s="219"/>
      <c r="K2" s="219"/>
      <c r="L2" s="220">
        <f>COUNTIF(L4:L80,"&lt;&gt;")</f>
        <v>12</v>
      </c>
      <c r="M2" s="220">
        <f t="shared" ref="M2:BX2" si="0">COUNTIF(M4:M80,"&lt;&gt;")</f>
        <v>1</v>
      </c>
      <c r="N2" s="220">
        <f t="shared" si="0"/>
        <v>73</v>
      </c>
      <c r="O2" s="220">
        <f t="shared" si="0"/>
        <v>14</v>
      </c>
      <c r="P2" s="220">
        <f t="shared" si="0"/>
        <v>17</v>
      </c>
      <c r="Q2" s="220">
        <f t="shared" si="0"/>
        <v>18</v>
      </c>
      <c r="R2" s="220">
        <f t="shared" si="0"/>
        <v>27</v>
      </c>
      <c r="S2" s="220">
        <f t="shared" si="0"/>
        <v>1</v>
      </c>
      <c r="T2" s="220">
        <f t="shared" si="0"/>
        <v>73</v>
      </c>
      <c r="U2" s="220">
        <f t="shared" si="0"/>
        <v>25</v>
      </c>
      <c r="V2" s="220">
        <f t="shared" si="0"/>
        <v>7</v>
      </c>
      <c r="W2" s="220">
        <f t="shared" si="0"/>
        <v>2</v>
      </c>
      <c r="X2" s="220">
        <f t="shared" si="0"/>
        <v>2</v>
      </c>
      <c r="Y2" s="220">
        <f t="shared" si="0"/>
        <v>40</v>
      </c>
      <c r="Z2" s="220">
        <f t="shared" si="0"/>
        <v>19</v>
      </c>
      <c r="AA2" s="220">
        <f t="shared" si="0"/>
        <v>9</v>
      </c>
      <c r="AB2" s="220">
        <f t="shared" si="0"/>
        <v>39</v>
      </c>
      <c r="AC2" s="220">
        <f t="shared" si="0"/>
        <v>10</v>
      </c>
      <c r="AD2" s="220">
        <f t="shared" si="0"/>
        <v>19</v>
      </c>
      <c r="AE2" s="220">
        <f t="shared" si="0"/>
        <v>10</v>
      </c>
      <c r="AF2" s="220">
        <f t="shared" si="0"/>
        <v>23</v>
      </c>
      <c r="AG2" s="220">
        <f t="shared" si="0"/>
        <v>12</v>
      </c>
      <c r="AH2" s="220">
        <f t="shared" si="0"/>
        <v>15</v>
      </c>
      <c r="AI2" s="220">
        <f t="shared" si="0"/>
        <v>15</v>
      </c>
      <c r="AJ2" s="220">
        <f t="shared" si="0"/>
        <v>1</v>
      </c>
      <c r="AK2" s="220">
        <f t="shared" si="0"/>
        <v>5</v>
      </c>
      <c r="AL2" s="220">
        <f t="shared" si="0"/>
        <v>14</v>
      </c>
      <c r="AM2" s="220">
        <f t="shared" si="0"/>
        <v>31</v>
      </c>
      <c r="AN2" s="220">
        <f t="shared" si="0"/>
        <v>54</v>
      </c>
      <c r="AO2" s="220">
        <f t="shared" si="0"/>
        <v>16</v>
      </c>
      <c r="AP2" s="220">
        <f t="shared" si="0"/>
        <v>13</v>
      </c>
      <c r="AQ2" s="220">
        <f t="shared" si="0"/>
        <v>16</v>
      </c>
      <c r="AR2" s="220">
        <f t="shared" si="0"/>
        <v>2</v>
      </c>
      <c r="AS2" s="220">
        <f t="shared" si="0"/>
        <v>21</v>
      </c>
      <c r="AT2" s="220">
        <f t="shared" si="0"/>
        <v>10</v>
      </c>
      <c r="AU2" s="220">
        <f t="shared" si="0"/>
        <v>26</v>
      </c>
      <c r="AV2" s="220">
        <f t="shared" si="0"/>
        <v>1</v>
      </c>
      <c r="AW2" s="220">
        <f t="shared" si="0"/>
        <v>8</v>
      </c>
      <c r="AX2" s="220">
        <f t="shared" si="0"/>
        <v>9</v>
      </c>
      <c r="AY2" s="220">
        <f t="shared" si="0"/>
        <v>17</v>
      </c>
      <c r="AZ2" s="220">
        <f t="shared" si="0"/>
        <v>4</v>
      </c>
      <c r="BA2" s="220">
        <f t="shared" si="0"/>
        <v>1</v>
      </c>
      <c r="BB2" s="220">
        <f t="shared" si="0"/>
        <v>1</v>
      </c>
      <c r="BC2" s="220">
        <f t="shared" si="0"/>
        <v>10</v>
      </c>
      <c r="BD2" s="220">
        <f t="shared" si="0"/>
        <v>24</v>
      </c>
      <c r="BE2" s="220">
        <f t="shared" si="0"/>
        <v>12</v>
      </c>
      <c r="BF2" s="220">
        <f t="shared" si="0"/>
        <v>15</v>
      </c>
      <c r="BG2" s="220">
        <f t="shared" si="0"/>
        <v>18</v>
      </c>
      <c r="BH2" s="220">
        <f t="shared" si="0"/>
        <v>19</v>
      </c>
      <c r="BI2" s="220">
        <f t="shared" si="0"/>
        <v>21</v>
      </c>
      <c r="BJ2" s="220">
        <f t="shared" si="0"/>
        <v>1</v>
      </c>
      <c r="BK2" s="220">
        <f t="shared" si="0"/>
        <v>19</v>
      </c>
      <c r="BL2" s="220">
        <f t="shared" si="0"/>
        <v>3</v>
      </c>
      <c r="BM2" s="220">
        <f t="shared" si="0"/>
        <v>1</v>
      </c>
      <c r="BN2" s="220">
        <f t="shared" si="0"/>
        <v>10</v>
      </c>
      <c r="BO2" s="220">
        <f t="shared" si="0"/>
        <v>11</v>
      </c>
      <c r="BP2" s="220">
        <f t="shared" si="0"/>
        <v>4</v>
      </c>
      <c r="BQ2" s="220">
        <f t="shared" si="0"/>
        <v>8</v>
      </c>
      <c r="BR2" s="220">
        <f t="shared" si="0"/>
        <v>60</v>
      </c>
      <c r="BS2" s="220">
        <f t="shared" si="0"/>
        <v>12</v>
      </c>
      <c r="BT2" s="220">
        <f t="shared" si="0"/>
        <v>30</v>
      </c>
      <c r="BU2" s="220">
        <f t="shared" si="0"/>
        <v>1</v>
      </c>
      <c r="BV2" s="220">
        <f t="shared" si="0"/>
        <v>4</v>
      </c>
      <c r="BW2" s="220">
        <f t="shared" si="0"/>
        <v>28</v>
      </c>
      <c r="BX2" s="220">
        <f t="shared" si="0"/>
        <v>19</v>
      </c>
      <c r="BY2" s="220">
        <f t="shared" ref="BY2:CA2" si="1">COUNTIF(BY4:BY80,"&lt;&gt;")</f>
        <v>11</v>
      </c>
      <c r="BZ2" s="220">
        <f t="shared" si="1"/>
        <v>13</v>
      </c>
      <c r="CA2" s="220">
        <f t="shared" si="1"/>
        <v>1</v>
      </c>
    </row>
    <row r="3" spans="1:86" s="211" customFormat="1" ht="60" x14ac:dyDescent="0.3">
      <c r="A3" s="211" t="s">
        <v>0</v>
      </c>
      <c r="B3" s="211" t="s">
        <v>1</v>
      </c>
      <c r="C3" s="211" t="s">
        <v>2</v>
      </c>
      <c r="D3" s="222" t="s">
        <v>1132</v>
      </c>
      <c r="E3" s="222" t="s">
        <v>1131</v>
      </c>
      <c r="F3" s="211" t="s">
        <v>3</v>
      </c>
      <c r="G3" s="223" t="s">
        <v>0</v>
      </c>
      <c r="H3" s="223" t="s">
        <v>4</v>
      </c>
      <c r="I3" s="223" t="s">
        <v>5</v>
      </c>
      <c r="J3" s="224" t="s">
        <v>0</v>
      </c>
      <c r="K3" s="224" t="s">
        <v>1</v>
      </c>
      <c r="L3" s="224" t="s">
        <v>6</v>
      </c>
      <c r="M3" s="224" t="s">
        <v>7</v>
      </c>
      <c r="N3" s="224" t="s">
        <v>8</v>
      </c>
      <c r="O3" s="224" t="s">
        <v>9</v>
      </c>
      <c r="P3" s="224" t="s">
        <v>10</v>
      </c>
      <c r="Q3" s="224" t="s">
        <v>11</v>
      </c>
      <c r="R3" s="224" t="s">
        <v>12</v>
      </c>
      <c r="S3" s="224" t="s">
        <v>13</v>
      </c>
      <c r="T3" s="224" t="s">
        <v>14</v>
      </c>
      <c r="U3" s="224" t="s">
        <v>15</v>
      </c>
      <c r="V3" s="224" t="s">
        <v>16</v>
      </c>
      <c r="W3" s="224" t="s">
        <v>1197</v>
      </c>
      <c r="X3" s="224" t="s">
        <v>17</v>
      </c>
      <c r="Y3" s="224" t="s">
        <v>18</v>
      </c>
      <c r="Z3" s="224" t="s">
        <v>19</v>
      </c>
      <c r="AA3" s="224" t="s">
        <v>20</v>
      </c>
      <c r="AB3" s="224" t="s">
        <v>21</v>
      </c>
      <c r="AC3" s="224" t="s">
        <v>22</v>
      </c>
      <c r="AD3" s="224" t="s">
        <v>23</v>
      </c>
      <c r="AE3" s="224" t="s">
        <v>24</v>
      </c>
      <c r="AF3" s="224" t="s">
        <v>25</v>
      </c>
      <c r="AG3" s="224" t="s">
        <v>26</v>
      </c>
      <c r="AH3" s="224" t="s">
        <v>27</v>
      </c>
      <c r="AI3" s="224" t="s">
        <v>28</v>
      </c>
      <c r="AJ3" s="224" t="s">
        <v>29</v>
      </c>
      <c r="AK3" s="224" t="s">
        <v>30</v>
      </c>
      <c r="AL3" s="224" t="s">
        <v>31</v>
      </c>
      <c r="AM3" s="224" t="s">
        <v>32</v>
      </c>
      <c r="AN3" s="224" t="s">
        <v>33</v>
      </c>
      <c r="AO3" s="224" t="s">
        <v>34</v>
      </c>
      <c r="AP3" s="224" t="s">
        <v>35</v>
      </c>
      <c r="AQ3" s="224" t="s">
        <v>36</v>
      </c>
      <c r="AR3" s="224" t="s">
        <v>37</v>
      </c>
      <c r="AS3" s="224" t="s">
        <v>38</v>
      </c>
      <c r="AT3" s="224" t="s">
        <v>39</v>
      </c>
      <c r="AU3" s="224" t="s">
        <v>40</v>
      </c>
      <c r="AV3" s="224" t="s">
        <v>41</v>
      </c>
      <c r="AW3" s="224" t="s">
        <v>42</v>
      </c>
      <c r="AX3" s="224" t="s">
        <v>43</v>
      </c>
      <c r="AY3" s="224" t="s">
        <v>44</v>
      </c>
      <c r="AZ3" s="224" t="s">
        <v>45</v>
      </c>
      <c r="BA3" s="224" t="s">
        <v>46</v>
      </c>
      <c r="BB3" s="224" t="s">
        <v>47</v>
      </c>
      <c r="BC3" s="224" t="s">
        <v>48</v>
      </c>
      <c r="BD3" s="224" t="s">
        <v>49</v>
      </c>
      <c r="BE3" s="224" t="s">
        <v>50</v>
      </c>
      <c r="BF3" s="224" t="s">
        <v>51</v>
      </c>
      <c r="BG3" s="224" t="s">
        <v>52</v>
      </c>
      <c r="BH3" s="224" t="s">
        <v>53</v>
      </c>
      <c r="BI3" s="224" t="s">
        <v>54</v>
      </c>
      <c r="BJ3" s="224" t="s">
        <v>55</v>
      </c>
      <c r="BK3" s="224" t="s">
        <v>56</v>
      </c>
      <c r="BL3" s="224" t="s">
        <v>57</v>
      </c>
      <c r="BM3" s="224" t="s">
        <v>58</v>
      </c>
      <c r="BN3" s="224" t="s">
        <v>59</v>
      </c>
      <c r="BO3" s="224" t="s">
        <v>60</v>
      </c>
      <c r="BP3" s="224" t="s">
        <v>61</v>
      </c>
      <c r="BQ3" s="224" t="s">
        <v>62</v>
      </c>
      <c r="BR3" s="224" t="s">
        <v>63</v>
      </c>
      <c r="BS3" s="224" t="s">
        <v>64</v>
      </c>
      <c r="BT3" s="224" t="s">
        <v>65</v>
      </c>
      <c r="BU3" s="224" t="s">
        <v>1148</v>
      </c>
      <c r="BV3" s="224" t="s">
        <v>66</v>
      </c>
      <c r="BW3" s="224" t="s">
        <v>67</v>
      </c>
      <c r="BX3" s="224" t="s">
        <v>68</v>
      </c>
      <c r="BY3" s="224" t="s">
        <v>69</v>
      </c>
      <c r="BZ3" s="224" t="s">
        <v>70</v>
      </c>
      <c r="CA3" s="224" t="s">
        <v>71</v>
      </c>
      <c r="CB3" s="224"/>
      <c r="CD3" s="225">
        <v>1</v>
      </c>
      <c r="CE3" s="225"/>
      <c r="CF3" s="226" t="s">
        <v>77</v>
      </c>
      <c r="CG3" s="226" t="s">
        <v>72</v>
      </c>
      <c r="CH3" s="226" t="s">
        <v>1147</v>
      </c>
    </row>
    <row r="4" spans="1:86" x14ac:dyDescent="0.35">
      <c r="A4" s="211" t="s">
        <v>72</v>
      </c>
      <c r="B4" s="211" t="s">
        <v>6</v>
      </c>
      <c r="C4" s="216" t="s">
        <v>73</v>
      </c>
      <c r="D4" s="222">
        <v>79.8</v>
      </c>
      <c r="E4" s="222">
        <v>-12.8</v>
      </c>
      <c r="F4" s="211">
        <v>-9</v>
      </c>
      <c r="G4" s="218" t="str">
        <f>'Air Source Heat Pump(s)'!C7</f>
        <v>USA</v>
      </c>
      <c r="H4" s="218" t="str">
        <f>HLOOKUP($G$4,$CF$3:$CH$58,CD4,FALSE)</f>
        <v>AK</v>
      </c>
      <c r="I4" s="218" t="str">
        <f>IFERROR(HLOOKUP('Air Source Heat Pump(s)'!D$7,'phius_monthly climate data'!$L$3:$CA$83,'phius_monthly climate data'!$CD4,FALSE),"")</f>
        <v>AURORA MUNICIPAL</v>
      </c>
      <c r="J4" s="221" t="s">
        <v>72</v>
      </c>
      <c r="K4" s="221" t="s">
        <v>6</v>
      </c>
      <c r="L4" s="221" t="str" cm="1">
        <f t="array" ref="L4:L15">_xlfn._xlws.FILTER($C:$C,$B:$B=L3)</f>
        <v>CALGARY INT AP</v>
      </c>
      <c r="M4" s="221" t="str" cm="1">
        <f t="array" ref="M4">_xlfn._xlws.FILTER($C:$C,$B:$B=M3)</f>
        <v>DUBAI INT AP</v>
      </c>
      <c r="N4" s="221" t="str" cm="1">
        <f t="array" ref="N4:N76">_xlfn._xlws.FILTER($C:$C,$B:$B=N3)</f>
        <v>ADAK NAS</v>
      </c>
      <c r="O4" s="221" t="str" cm="1">
        <f t="array" ref="O4:O17">_xlfn._xlws.FILTER($C:$C,$B:$B=O3)</f>
        <v>ANNISTON METROPOLITAN AP</v>
      </c>
      <c r="P4" s="221" t="str" cm="1">
        <f t="array" ref="P4:P20">_xlfn._xlws.FILTER($C:$C,$B:$B=P3)</f>
        <v>BATESVILLE (AWOS)</v>
      </c>
      <c r="Q4" s="221" t="str" cm="1">
        <f t="array" ref="Q4:Q21">_xlfn._xlws.FILTER($C:$C,$B:$B=Q3)</f>
        <v>CASA GRANDE (AWOS)</v>
      </c>
      <c r="R4" s="221" t="str" cm="1">
        <f t="array" ref="R4:R30">_xlfn._xlws.FILTER($C:$C,$B:$B=R3)</f>
        <v>ABBOTSFORD AP</v>
      </c>
      <c r="S4" s="221" t="str" cm="1">
        <f t="array" ref="S4">_xlfn._xlws.FILTER($C:$C,$B:$B=S3)</f>
        <v>DHAKA</v>
      </c>
      <c r="T4" s="221" t="str" cm="1">
        <f t="array" ref="T4:T76">_xlfn._xlws.FILTER($C:$C,$B:$B=T3)</f>
        <v>ALTURAS</v>
      </c>
      <c r="U4" s="221" t="str" cm="1">
        <f t="array" ref="U4:U28">_xlfn._xlws.FILTER($C:$C,$B:$B=U3)</f>
        <v>AKRON WASHINGTON CO AP</v>
      </c>
      <c r="V4" s="221" t="str" cm="1">
        <f t="array" ref="V4:V10">_xlfn._xlws.FILTER($C:$C,$B:$B=V3)</f>
        <v>BRIDGEPORT SIKORSKY MEMORIAL</v>
      </c>
      <c r="W4" s="221" t="str" cm="1">
        <f t="array" ref="W4:W5">_xlfn._xlws.FILTER($C:$C,$B:$B=W3)</f>
        <v>WASHINGTON DC DULLES INT AR [STERLING - ISIS]</v>
      </c>
      <c r="X4" s="221" t="str" cm="1">
        <f t="array" ref="X4:X5">_xlfn._xlws.FILTER($C:$C,$B:$B=X3)</f>
        <v>DOVER AFB</v>
      </c>
      <c r="Y4" s="221" t="str" cm="1">
        <f t="array" ref="Y4:Y43">_xlfn._xlws.FILTER($C:$C,$B:$B=Y3)</f>
        <v>CRESTVIEW BOB SIKES AP</v>
      </c>
      <c r="Z4" s="221" t="str" cm="1">
        <f t="array" ref="Z4:Z22">_xlfn._xlws.FILTER($C:$C,$B:$B=Z3)</f>
        <v>ALBANY DOUGHERTY COUNTY AP</v>
      </c>
      <c r="AA4" s="221" t="str" cm="1">
        <f t="array" ref="AA4:AA12">_xlfn._xlws.FILTER($C:$C,$B:$B=AA3)</f>
        <v>BARBERS POINT NAS</v>
      </c>
      <c r="AB4" s="221" t="str" cm="1">
        <f t="array" ref="AB4:AB42">_xlfn._xlws.FILTER($C:$C,$B:$B=AB3)</f>
        <v>ALGONA</v>
      </c>
      <c r="AC4" s="221" t="str" cm="1">
        <f t="array" ref="AC4:AC13">_xlfn._xlws.FILTER($C:$C,$B:$B=AC3)</f>
        <v>BOISE AIR TERMINAL [UO]</v>
      </c>
      <c r="AD4" s="221" t="str" cm="1">
        <f t="array" ref="AD4:AD22">_xlfn._xlws.FILTER($C:$C,$B:$B=AD3)</f>
        <v>AURORA MUNICIPAL</v>
      </c>
      <c r="AE4" s="221" t="str" cm="1">
        <f t="array" ref="AE4:AE13">_xlfn._xlws.FILTER($C:$C,$B:$B=AE3)</f>
        <v>DELAWARE CO JOHNSON</v>
      </c>
      <c r="AF4" s="221" t="str" cm="1">
        <f t="array" ref="AF4:AF26">_xlfn._xlws.FILTER($C:$C,$B:$B=AF3)</f>
        <v>CHANUTE MARTIN JOHNSON AP</v>
      </c>
      <c r="AG4" s="221" t="str" cm="1">
        <f t="array" ref="AG4:AG15">_xlfn._xlws.FILTER($C:$C,$B:$B=AG3)</f>
        <v>BOWLING GREEN WARREN CO AP</v>
      </c>
      <c r="AH4" s="221" t="str" cm="1">
        <f t="array" ref="AH4:AH18">_xlfn._xlws.FILTER($C:$C,$B:$B=AH3)</f>
        <v>ALEXANDRIA ESLER REGIONAL AP</v>
      </c>
      <c r="AI4" s="221" t="str" cm="1">
        <f t="array" ref="AI4:AI18">_xlfn._xlws.FILTER($C:$C,$B:$B=AI3)</f>
        <v>BARNSTABLE MUNI BOA</v>
      </c>
      <c r="AJ4" s="221" t="str" cm="1">
        <f t="array" ref="AJ4">_xlfn._xlws.FILTER($C:$C,$B:$B=AJ3)</f>
        <v>WINNIPEG</v>
      </c>
      <c r="AK4" s="221" t="str" cm="1">
        <f t="array" ref="AK4:AK8">_xlfn._xlws.FILTER($C:$C,$B:$B=AK3)</f>
        <v>ANDREWS AFB</v>
      </c>
      <c r="AL4" s="221" t="str" cm="1">
        <f t="array" ref="AL4:AL17">_xlfn._xlws.FILTER($C:$C,$B:$B=AL3)</f>
        <v>AUBURN-LEWISTON</v>
      </c>
      <c r="AM4" s="221" t="str" cm="1">
        <f t="array" ref="AM4:AM34">_xlfn._xlws.FILTER($C:$C,$B:$B=AM3)</f>
        <v>ALPENA COUNTY REGIONAL AP</v>
      </c>
      <c r="AN4" s="221" t="str" cm="1">
        <f t="array" ref="AN4:AN57">_xlfn._xlws.FILTER($C:$C,$B:$B=AN3)</f>
        <v>AITKIN NDB(AWOS)</v>
      </c>
      <c r="AO4" s="221" t="str" cm="1">
        <f t="array" ref="AO4:AO19">_xlfn._xlws.FILTER($C:$C,$B:$B=AO3)</f>
        <v>CAPE GIRARDEAU MUNICIPAL AP</v>
      </c>
      <c r="AP4" s="221" t="str" cm="1">
        <f t="array" ref="AP4:AP16">_xlfn._xlws.FILTER($C:$C,$B:$B=AP3)</f>
        <v>COLUMBUS AFB</v>
      </c>
      <c r="AQ4" s="221" t="str" cm="1">
        <f t="array" ref="AQ4:AQ19">_xlfn._xlws.FILTER($C:$C,$B:$B=AQ3)</f>
        <v>BILLINGS LOGAN INT ARPT</v>
      </c>
      <c r="AR4" s="221" t="str" cm="1">
        <f t="array" ref="AR4:AR5">_xlfn._xlws.FILTER($C:$C,$B:$B=AR3)</f>
        <v>FREDERICTON</v>
      </c>
      <c r="AS4" s="221" t="str" cm="1">
        <f t="array" ref="AS4:AS24">_xlfn._xlws.FILTER($C:$C,$B:$B=AS3)</f>
        <v>ASHEVILLE REGIONAL ARPT</v>
      </c>
      <c r="AT4" s="221" t="str" cm="1">
        <f t="array" ref="AT4:AT13">_xlfn._xlws.FILTER($C:$C,$B:$B=AT3)</f>
        <v>BISMARCK MUNICIPAL ARPT [ISIS]</v>
      </c>
      <c r="AU4" s="221" t="str" cm="1">
        <f t="array" ref="AU4:AU29">_xlfn._xlws.FILTER($C:$C,$B:$B=AU3)</f>
        <v>AINSWORTH MUNICIPAL</v>
      </c>
      <c r="AV4" s="221" t="str" cm="1">
        <f t="array" ref="AV4">_xlfn._xlws.FILTER($C:$C,$B:$B=AV3)</f>
        <v>ST JOHNS</v>
      </c>
      <c r="AW4" s="221" t="str" cm="1">
        <f t="array" ref="AW4:AW11">_xlfn._xlws.FILTER($C:$C,$B:$B=AW3)</f>
        <v>BERLIN MUNICIPAL</v>
      </c>
      <c r="AX4" s="221" t="str" cm="1">
        <f t="array" ref="AX4:AX12">_xlfn._xlws.FILTER($C:$C,$B:$B=AX3)</f>
        <v>ATLANTIC CITY INTL AP</v>
      </c>
      <c r="AY4" s="221" t="str" cm="1">
        <f t="array" ref="AY4:AY20">_xlfn._xlws.FILTER($C:$C,$B:$B=AY3)</f>
        <v>ALBUQUERQUE INTL ARPT [ISIS]</v>
      </c>
      <c r="AZ4" s="221" t="str" cm="1">
        <f t="array" ref="AZ4:AZ7">_xlfn._xlws.FILTER($C:$C,$B:$B=AZ3)</f>
        <v>GREENWOOD AP</v>
      </c>
      <c r="BA4" s="221" t="str" cm="1">
        <f t="array" ref="BA4">_xlfn._xlws.FILTER($C:$C,$B:$B=BA3)</f>
        <v>YELLOWKNIFE AP</v>
      </c>
      <c r="BB4" s="221" t="str" cm="1">
        <f t="array" ref="BB4">_xlfn._xlws.FILTER($C:$C,$B:$B=BB3)</f>
        <v>IQALUIT</v>
      </c>
      <c r="BC4" s="221" t="str" cm="1">
        <f t="array" ref="BC4:BC13">_xlfn._xlws.FILTER($C:$C,$B:$B=BC3)</f>
        <v>ELKO MUNICIPAL ARPT</v>
      </c>
      <c r="BD4" s="221" t="str" cm="1">
        <f t="array" ref="BD4:BD27">_xlfn._xlws.FILTER($C:$C,$B:$B=BD3)</f>
        <v>ADIRONDACK RGNL</v>
      </c>
      <c r="BE4" s="221" t="str" cm="1">
        <f t="array" ref="BE4:BE15">_xlfn._xlws.FILTER($C:$C,$B:$B=BE3)</f>
        <v>AKRON AKRON-CANTON REG AP</v>
      </c>
      <c r="BF4" s="221" t="str" cm="1">
        <f t="array" ref="BF4:BF18">_xlfn._xlws.FILTER($C:$C,$B:$B=BF3)</f>
        <v>ALTUS AFB</v>
      </c>
      <c r="BG4" s="221" t="str" cm="1">
        <f t="array" ref="BG4:BG21">_xlfn._xlws.FILTER($C:$C,$B:$B=BG3)</f>
        <v>BEAUSOLEIL</v>
      </c>
      <c r="BH4" s="221" t="str" cm="1">
        <f t="array" ref="BH4:BH22">_xlfn._xlws.FILTER($C:$C,$B:$B=BH3)</f>
        <v>ASTORIA REGIONAL AIRPORT</v>
      </c>
      <c r="BI4" s="221" t="str" cm="1">
        <f t="array" ref="BI4:BI24">_xlfn._xlws.FILTER($C:$C,$B:$B=BI3)</f>
        <v>ALLENTOWN LEHIGH VALLEY INTL</v>
      </c>
      <c r="BJ4" s="221" t="str" cm="1">
        <f t="array" ref="BJ4">_xlfn._xlws.FILTER($C:$C,$B:$B=BJ3)</f>
        <v>CHARLOTTETOWN</v>
      </c>
      <c r="BK4" s="221" t="str" cm="1">
        <f t="array" ref="BK4:BK22">_xlfn._xlws.FILTER($C:$C,$B:$B=BK3)</f>
        <v>JONQUIERE</v>
      </c>
      <c r="BL4" s="221" t="str" cm="1">
        <f t="array" ref="BL4:BL6">_xlfn._xlws.FILTER($C:$C,$B:$B=BL3)</f>
        <v>BLOCK ISLAND STATE ARPT</v>
      </c>
      <c r="BM4" s="221" t="str" cm="1">
        <f t="array" ref="BM4">_xlfn._xlws.FILTER($C:$C,$B:$B=BM3)</f>
        <v>RIYADH</v>
      </c>
      <c r="BN4" s="221" t="str" cm="1">
        <f t="array" ref="BN4:BN13">_xlfn._xlws.FILTER($C:$C,$B:$B=BN3)</f>
        <v>ANDERSON COUNTY AP</v>
      </c>
      <c r="BO4" s="221" t="str" cm="1">
        <f t="array" ref="BO4:BO14">_xlfn._xlws.FILTER($C:$C,$B:$B=BO3)</f>
        <v>ABERDEEN REGIONAL ARPT</v>
      </c>
      <c r="BP4" s="221" t="str" cm="1">
        <f t="array" ref="BP4:BP7">_xlfn._xlws.FILTER($C:$C,$B:$B=BP3)</f>
        <v>MOOSE JAW AP</v>
      </c>
      <c r="BQ4" s="221" t="str" cm="1">
        <f t="array" ref="BQ4:BQ11">_xlfn._xlws.FILTER($C:$C,$B:$B=BQ3)</f>
        <v>BRISTOL TRI CITY AIRPORT</v>
      </c>
      <c r="BR4" s="221" t="str" cm="1">
        <f t="array" ref="BR4:BR63">_xlfn._xlws.FILTER($C:$C,$B:$B=BR3)</f>
        <v>ABILENE DYESS AFB</v>
      </c>
      <c r="BS4" s="221" t="str" cm="1">
        <f t="array" ref="BS4:BS15">_xlfn._xlws.FILTER($C:$C,$B:$B=BS3)</f>
        <v>BLANDING MUNI AP</v>
      </c>
      <c r="BT4" s="221" t="str" cm="1">
        <f t="array" ref="BT4:BT33">_xlfn._xlws.FILTER($C:$C,$B:$B=BT3)</f>
        <v>ABINGDON</v>
      </c>
      <c r="BU4" s="221" t="s">
        <v>1149</v>
      </c>
      <c r="BV4" s="221" t="str" cm="1">
        <f t="array" ref="BV4:BV7">_xlfn._xlws.FILTER($C:$C,$B:$B=BV3)</f>
        <v>BURLINGTON INTERNATIONAL AP</v>
      </c>
      <c r="BW4" s="221" t="str" cm="1">
        <f t="array" ref="BW4:BW31">_xlfn._xlws.FILTER($C:$C,$B:$B=BW3)</f>
        <v>BELLINGHAM INTL AP</v>
      </c>
      <c r="BX4" s="221" t="str" cm="1">
        <f t="array" ref="BX4:BX22">_xlfn._xlws.FILTER($C:$C,$B:$B=BX3)</f>
        <v>APPLETON/OUTAGAMIE</v>
      </c>
      <c r="BY4" s="221" t="str" cm="1">
        <f t="array" ref="BY4:BY14">_xlfn._xlws.FILTER($C:$C,$B:$B=BY3)</f>
        <v>BECKLEY RALEIGH CO MEM AP</v>
      </c>
      <c r="BZ4" s="221" t="str" cm="1">
        <f t="array" ref="BZ4:BZ16">_xlfn._xlws.FILTER($C:$C,$B:$B=BZ3)</f>
        <v>CASPER NATRONA CO INTL AP</v>
      </c>
      <c r="CA4" s="221" t="str" cm="1">
        <f t="array" ref="CA4">_xlfn._xlws.FILTER($C:$C,$B:$B=CA3)</f>
        <v>WHITEHORSE</v>
      </c>
      <c r="CD4" s="215">
        <v>2</v>
      </c>
      <c r="CF4" s="215" t="s">
        <v>8</v>
      </c>
      <c r="CG4" s="215" t="s">
        <v>6</v>
      </c>
      <c r="CH4" s="216" t="s">
        <v>1148</v>
      </c>
    </row>
    <row r="5" spans="1:86" x14ac:dyDescent="0.35">
      <c r="A5" s="211" t="s">
        <v>72</v>
      </c>
      <c r="B5" s="211" t="s">
        <v>6</v>
      </c>
      <c r="C5" s="216" t="s">
        <v>74</v>
      </c>
      <c r="D5" s="222">
        <v>78.8</v>
      </c>
      <c r="E5" s="222">
        <v>-11.6</v>
      </c>
      <c r="F5" s="211">
        <v>-7</v>
      </c>
      <c r="H5" s="218" t="str">
        <f t="shared" ref="H5:H43" si="2">HLOOKUP($G$4,$CF$3:$CH$58,CD5,FALSE)</f>
        <v>AL</v>
      </c>
      <c r="I5" s="218" t="str">
        <f>IFERROR(HLOOKUP('Air Source Heat Pump(s)'!D$7,'phius_monthly climate data'!$L$3:$CA$83,'phius_monthly climate data'!$CD5,FALSE),"")</f>
        <v>BELLEVILLE SCOTT AFB</v>
      </c>
      <c r="J5" s="221" t="s">
        <v>75</v>
      </c>
      <c r="K5" s="221" t="s">
        <v>7</v>
      </c>
      <c r="L5" s="221" t="str">
        <v>COP UPPER</v>
      </c>
      <c r="N5" s="221" t="str">
        <v>AMBLER</v>
      </c>
      <c r="O5" s="221" t="str">
        <v>AUBURN-OPELIKA APT</v>
      </c>
      <c r="P5" s="221" t="str">
        <v>BENTONVILLE (AWOS)</v>
      </c>
      <c r="Q5" s="221" t="str">
        <v>DAVIS MONTHAN AFB</v>
      </c>
      <c r="R5" s="221" t="str">
        <v>AGASSIZ CDA</v>
      </c>
      <c r="T5" s="221" t="str">
        <v>ARCATA AIRPORT</v>
      </c>
      <c r="U5" s="221" t="str">
        <v>ALAMOSA SAN LUIS VALLEY RGNL</v>
      </c>
      <c r="V5" s="221" t="str">
        <v>DANBURY MUNICIPAL</v>
      </c>
      <c r="W5" s="221" t="str">
        <v>WASHINGTON DC REAGAN AP</v>
      </c>
      <c r="X5" s="221" t="str">
        <v>WILMINGTON NEW CASTLE CNTY AP</v>
      </c>
      <c r="Y5" s="221" t="str">
        <v>DAYTONA BEACH INTL AP</v>
      </c>
      <c r="Z5" s="221" t="str">
        <v>ALMA BACON COUNTY AP</v>
      </c>
      <c r="AA5" s="221" t="str">
        <v>HILO INTERNATIONAL AP</v>
      </c>
      <c r="AB5" s="221" t="str">
        <v>ATLANTIC</v>
      </c>
      <c r="AC5" s="221" t="str">
        <v>BURLEY MUNICIPAL ARPT</v>
      </c>
      <c r="AD5" s="221" t="str">
        <v>BELLEVILLE SCOTT AFB</v>
      </c>
      <c r="AE5" s="221" t="str">
        <v>EVANSVILLE REGIONAL AP</v>
      </c>
      <c r="AF5" s="221" t="str">
        <v>CONCORDIA BLOSSER MUNI AP</v>
      </c>
      <c r="AG5" s="221" t="str">
        <v>CINCINNATI NORTHERN KY AP</v>
      </c>
      <c r="AH5" s="221" t="str">
        <v>BARKSDALE AFB</v>
      </c>
      <c r="AI5" s="221" t="str">
        <v>BEVERLY MUNI</v>
      </c>
      <c r="AK5" s="221" t="str">
        <v>BALTIMORE BLT-WASHNGTN INT</v>
      </c>
      <c r="AL5" s="221" t="str">
        <v>AUGUSTA AIRPORT</v>
      </c>
      <c r="AM5" s="221" t="str">
        <v>ANN ARBOR MUNICIPAL</v>
      </c>
      <c r="AN5" s="221" t="str">
        <v>ALBERT LEA (AWOS)</v>
      </c>
      <c r="AO5" s="221" t="str">
        <v>COLUMBIA REGIONAL AIRPORT</v>
      </c>
      <c r="AP5" s="221" t="str">
        <v>GOLDEN TRI(AWOS)</v>
      </c>
      <c r="AQ5" s="221" t="str">
        <v>BOZEMAN GALLATIN FIELD</v>
      </c>
      <c r="AR5" s="221" t="str">
        <v>MONCTON AP</v>
      </c>
      <c r="AS5" s="221" t="str">
        <v>CAPE HATTERAS NWS BLDG</v>
      </c>
      <c r="AT5" s="221" t="str">
        <v>DEVILS LAKE(AWOS)</v>
      </c>
      <c r="AU5" s="221" t="str">
        <v>ALLIANCE MUNICIPAL</v>
      </c>
      <c r="AW5" s="221" t="str">
        <v>CONCORD MUNICIPAL ARPT</v>
      </c>
      <c r="AX5" s="221" t="str">
        <v>BELMAR ASC</v>
      </c>
      <c r="AY5" s="221" t="str">
        <v>CARLSBAD CAVERN CITY AIR TERM</v>
      </c>
      <c r="AZ5" s="221" t="str">
        <v>HALIFAX</v>
      </c>
      <c r="BC5" s="221" t="str">
        <v>ELY YELLAND FIELD</v>
      </c>
      <c r="BD5" s="221" t="str">
        <v>ALBANY COUNTY AP</v>
      </c>
      <c r="BE5" s="221" t="str">
        <v>BURKE LAKEFRONT</v>
      </c>
      <c r="BF5" s="221" t="str">
        <v>BARTLESVILLE-PHILLIPS FIELD</v>
      </c>
      <c r="BG5" s="221" t="str">
        <v>BURLINGTON PIERS</v>
      </c>
      <c r="BH5" s="221" t="str">
        <v>AURORA STATE</v>
      </c>
      <c r="BI5" s="221" t="str">
        <v>ALTOONA BLAIR CO ARPT</v>
      </c>
      <c r="BK5" s="221" t="str">
        <v>LA BAIE</v>
      </c>
      <c r="BL5" s="221" t="str">
        <v>PAWTUCKET (AWOS)</v>
      </c>
      <c r="BN5" s="221" t="str">
        <v>BEAUFORT MCAS</v>
      </c>
      <c r="BO5" s="221" t="str">
        <v>BROOKINGS (AWOS)</v>
      </c>
      <c r="BP5" s="221" t="str">
        <v>PRINCE ALBERT AP</v>
      </c>
      <c r="BQ5" s="221" t="str">
        <v>CHATTANOOGA LOVELL FIELD AP</v>
      </c>
      <c r="BR5" s="221" t="str">
        <v>ABILENE REGIONAL AP [UT]</v>
      </c>
      <c r="BS5" s="221" t="str">
        <v>BRYCE CANYON AP</v>
      </c>
      <c r="BT5" s="221" t="str">
        <v>CHARLOTTESVILLE FAA</v>
      </c>
      <c r="BV5" s="221" t="str">
        <v>MONTPELIER AP</v>
      </c>
      <c r="BW5" s="221" t="str">
        <v>BREMERTON NATIONAL</v>
      </c>
      <c r="BX5" s="221" t="str">
        <v>EAU CLAIRE COUNTY AP</v>
      </c>
      <c r="BY5" s="221" t="str">
        <v>BLUEFIELD/MERCER CO [NREL]</v>
      </c>
      <c r="BZ5" s="221" t="str">
        <v>CHEYENNE MUNICIPAL ARPT</v>
      </c>
      <c r="CD5" s="215">
        <v>3</v>
      </c>
      <c r="CF5" s="215" t="s">
        <v>9</v>
      </c>
      <c r="CG5" s="215" t="s">
        <v>12</v>
      </c>
    </row>
    <row r="6" spans="1:86" x14ac:dyDescent="0.35">
      <c r="A6" s="211" t="s">
        <v>72</v>
      </c>
      <c r="B6" s="211" t="s">
        <v>6</v>
      </c>
      <c r="C6" s="216" t="s">
        <v>76</v>
      </c>
      <c r="D6" s="222">
        <v>78.7</v>
      </c>
      <c r="E6" s="222">
        <v>-20.6</v>
      </c>
      <c r="F6" s="211">
        <v>-17</v>
      </c>
      <c r="H6" s="218" t="str">
        <f t="shared" si="2"/>
        <v>AR</v>
      </c>
      <c r="I6" s="218" t="str">
        <f>IFERROR(HLOOKUP('Air Source Heat Pump(s)'!D$7,'phius_monthly climate data'!$L$3:$CA$83,'phius_monthly climate data'!$CD6,FALSE),"")</f>
        <v>CAHOKIA/ST. LOUIS</v>
      </c>
      <c r="J6" s="221" t="s">
        <v>77</v>
      </c>
      <c r="K6" s="221" t="s">
        <v>8</v>
      </c>
      <c r="L6" s="221" t="str">
        <v>EDMONTON AP</v>
      </c>
      <c r="N6" s="221" t="str">
        <v>ANAKTUVUK PASS</v>
      </c>
      <c r="O6" s="221" t="str">
        <v>BIRMINGHAM MUNICIPAL AP</v>
      </c>
      <c r="P6" s="221" t="str">
        <v>EL DORADO GOODWIN FIELD</v>
      </c>
      <c r="Q6" s="221" t="str">
        <v>DEER VALLEY/PHOENIX</v>
      </c>
      <c r="R6" s="221" t="str">
        <v>BALLENAS ISLAND</v>
      </c>
      <c r="T6" s="221" t="str">
        <v>BAKERSFIELD MEADOWS FIELD</v>
      </c>
      <c r="U6" s="221" t="str">
        <v>ASPEN PITKIN CO SAR</v>
      </c>
      <c r="V6" s="221" t="str">
        <v>GROTON NEW LONDON AP</v>
      </c>
      <c r="Y6" s="221" t="str">
        <v>FORT LAUDERDALE</v>
      </c>
      <c r="Z6" s="221" t="str">
        <v>ATHENS BEN EPPS AP</v>
      </c>
      <c r="AA6" s="221" t="str">
        <v>HONOLULU INTL ARPT</v>
      </c>
      <c r="AB6" s="221" t="str">
        <v>BOONE MUNI</v>
      </c>
      <c r="AC6" s="221" t="str">
        <v>CALDWELL (AWOS)</v>
      </c>
      <c r="AD6" s="221" t="str">
        <v>CAHOKIA/ST. LOUIS</v>
      </c>
      <c r="AE6" s="221" t="str">
        <v>FORT WAYNE INTL AP</v>
      </c>
      <c r="AF6" s="221" t="str">
        <v>DODGE CITY REGIONAL AP</v>
      </c>
      <c r="AG6" s="221" t="str">
        <v>FORT CAMPBELL AAF</v>
      </c>
      <c r="AH6" s="221" t="str">
        <v>BATON ROUGE RYAN ARPT</v>
      </c>
      <c r="AI6" s="221" t="str">
        <v>BOSTON LOGAN INT ARPT</v>
      </c>
      <c r="AK6" s="221" t="str">
        <v>HAGERSTOWN RGNL RIC</v>
      </c>
      <c r="AL6" s="221" t="str">
        <v>BANGOR INTERNATIONAL AP</v>
      </c>
      <c r="AM6" s="221" t="str">
        <v>BATTLE CREEK KELLOGG AP</v>
      </c>
      <c r="AN6" s="221" t="str">
        <v>ALEXANDRIA MUNICIPAL AP</v>
      </c>
      <c r="AO6" s="221" t="str">
        <v>FARMINGTON</v>
      </c>
      <c r="AP6" s="221" t="str">
        <v>GREENVILLE MUNI AP</v>
      </c>
      <c r="AQ6" s="221" t="str">
        <v>BUTTE BERT MOONEY ARPT</v>
      </c>
      <c r="AS6" s="221" t="str">
        <v>CHARLOTTE DOUGLAS INTL ARPT</v>
      </c>
      <c r="AT6" s="221" t="str">
        <v>DICKINSON MUNICIPAL AP</v>
      </c>
      <c r="AU6" s="221" t="str">
        <v>BEATRICE MUNICIPAL</v>
      </c>
      <c r="AW6" s="221" t="str">
        <v>DILLANT HOPKINS</v>
      </c>
      <c r="AX6" s="221" t="str">
        <v>CALDWELL/ESSEX CO.</v>
      </c>
      <c r="AY6" s="221" t="str">
        <v>CLAYTON MUNICIPAL AIRPARK</v>
      </c>
      <c r="AZ6" s="221" t="str">
        <v>SHEARWATER</v>
      </c>
      <c r="BC6" s="221" t="str">
        <v>FALLON NAAS</v>
      </c>
      <c r="BD6" s="221" t="str">
        <v>BINGHAMTON EDWIN A LINK FIELD</v>
      </c>
      <c r="BE6" s="221" t="str">
        <v>CINCINNATI MUNICIPAL AP LUNKI</v>
      </c>
      <c r="BF6" s="221" t="str">
        <v>CLINTON-SHERMAN</v>
      </c>
      <c r="BG6" s="221" t="str">
        <v>ERIEAU</v>
      </c>
      <c r="BH6" s="221" t="str">
        <v>BAKER MUNICIPAL AP</v>
      </c>
      <c r="BI6" s="221" t="str">
        <v>BRADFORD REGIONAL AP</v>
      </c>
      <c r="BK6" s="221" t="str">
        <v>LACADIE</v>
      </c>
      <c r="BL6" s="221" t="str">
        <v>PROVIDENCE T F GREEN STATE AR</v>
      </c>
      <c r="BN6" s="221" t="str">
        <v>CHARLESTON INTL ARPT</v>
      </c>
      <c r="BO6" s="221" t="str">
        <v>CHAN GURNEY MUNI</v>
      </c>
      <c r="BP6" s="221" t="str">
        <v>REGINA</v>
      </c>
      <c r="BQ6" s="221" t="str">
        <v>CROSSVILLE MEMORIAL AP</v>
      </c>
      <c r="BR6" s="221" t="str">
        <v>ALICE INTL AP</v>
      </c>
      <c r="BS6" s="221" t="str">
        <v>CEDAR CITY MUNICIPAL AP</v>
      </c>
      <c r="BT6" s="221" t="str">
        <v>DANVILLE FAA AP</v>
      </c>
      <c r="BV6" s="221" t="str">
        <v>RUTLAND STATE</v>
      </c>
      <c r="BW6" s="221" t="str">
        <v>EPHRATA AP FCWOS</v>
      </c>
      <c r="BX6" s="221" t="str">
        <v>GREEN BAY AUSTIN STRAUBEL INT</v>
      </c>
      <c r="BY6" s="221" t="str">
        <v>CHARLESTON YEAGER ARPT</v>
      </c>
      <c r="BZ6" s="221" t="str">
        <v>CODY MUNI (AWOS)</v>
      </c>
      <c r="CD6" s="215">
        <v>4</v>
      </c>
      <c r="CF6" s="215" t="s">
        <v>10</v>
      </c>
      <c r="CG6" s="215" t="s">
        <v>29</v>
      </c>
    </row>
    <row r="7" spans="1:86" x14ac:dyDescent="0.35">
      <c r="A7" s="211" t="s">
        <v>72</v>
      </c>
      <c r="B7" s="211" t="s">
        <v>6</v>
      </c>
      <c r="C7" s="216" t="s">
        <v>78</v>
      </c>
      <c r="D7" s="222">
        <v>79.900000000000006</v>
      </c>
      <c r="E7" s="222">
        <v>-14.5</v>
      </c>
      <c r="F7" s="211">
        <v>-12</v>
      </c>
      <c r="H7" s="218" t="str">
        <f t="shared" si="2"/>
        <v>AZ</v>
      </c>
      <c r="I7" s="218" t="str">
        <f>IFERROR(HLOOKUP('Air Source Heat Pump(s)'!D$7,'phius_monthly climate data'!$L$3:$CA$83,'phius_monthly climate data'!$CD7,FALSE),"")</f>
        <v>CENTRAL ILLINOIS RG</v>
      </c>
      <c r="J7" s="221" t="s">
        <v>77</v>
      </c>
      <c r="K7" s="221" t="s">
        <v>9</v>
      </c>
      <c r="L7" s="221" t="str">
        <v>EDMONTON MUN AP</v>
      </c>
      <c r="N7" s="221" t="str">
        <v>ANCHORAGE INTL AP</v>
      </c>
      <c r="O7" s="221" t="str">
        <v>CAIRNS FIELD FORT RUCKER</v>
      </c>
      <c r="P7" s="221" t="str">
        <v>FAYETTEVILLE DRAKE FIELD</v>
      </c>
      <c r="Q7" s="221" t="str">
        <v>DOUGLAS BISBEE-DOUGLAS INTL A</v>
      </c>
      <c r="R7" s="221" t="str">
        <v>COMOX AP</v>
      </c>
      <c r="T7" s="221" t="str">
        <v>BEALE AFB</v>
      </c>
      <c r="U7" s="221" t="str">
        <v>AURORA BUCKLEY FIELD ANGB</v>
      </c>
      <c r="V7" s="221" t="str">
        <v>HARTFORD BRADLEY INTL AP</v>
      </c>
      <c r="Y7" s="221" t="str">
        <v>FORT LAUDERDALE HOLLYWOOD INT</v>
      </c>
      <c r="Z7" s="221" t="str">
        <v>ATLANTA HARTSFIELD INTL AP</v>
      </c>
      <c r="AA7" s="221" t="str">
        <v>KAHULUI AIRPORT</v>
      </c>
      <c r="AB7" s="221" t="str">
        <v>BURLINGTON MUNICIPAL AP</v>
      </c>
      <c r="AC7" s="221" t="str">
        <v>COEUR D`ALENE(AWOS)</v>
      </c>
      <c r="AD7" s="221" t="str">
        <v>CENTRAL ILLINOIS RG</v>
      </c>
      <c r="AE7" s="221" t="str">
        <v>GRISSOM ARB</v>
      </c>
      <c r="AF7" s="221" t="str">
        <v>EMPORIA MUNICIPAL AP</v>
      </c>
      <c r="AG7" s="221" t="str">
        <v>FORT KNOX GODMAN AAF</v>
      </c>
      <c r="AH7" s="221" t="str">
        <v>ENGLAND AFB</v>
      </c>
      <c r="AI7" s="221" t="str">
        <v>CHICOPEE FALLS WESTO</v>
      </c>
      <c r="AK7" s="221" t="str">
        <v>PATUXENT RIVER NAS</v>
      </c>
      <c r="AL7" s="221" t="str">
        <v>BAR HARBOR (AWOS)</v>
      </c>
      <c r="AM7" s="221" t="str">
        <v>BENTON HARBOR/ROSS</v>
      </c>
      <c r="AN7" s="221" t="str">
        <v>AUSTIN MUNI</v>
      </c>
      <c r="AO7" s="221" t="str">
        <v>JEFFERSON CITY MEM</v>
      </c>
      <c r="AP7" s="221" t="str">
        <v>GREENWOOD LEFLORE ARPT</v>
      </c>
      <c r="AQ7" s="221" t="str">
        <v>CUT BANK MUNI AP</v>
      </c>
      <c r="AS7" s="221" t="str">
        <v>CHERRY POINT MCAS</v>
      </c>
      <c r="AT7" s="221" t="str">
        <v>FARGO HECTOR INTERNATIONAL AP</v>
      </c>
      <c r="AU7" s="221" t="str">
        <v>BELLEVUE OFFUTT AFB</v>
      </c>
      <c r="AW7" s="221" t="str">
        <v>LACONIA MUNI (AWOS)</v>
      </c>
      <c r="AX7" s="221" t="str">
        <v>CAPE MAY CO</v>
      </c>
      <c r="AY7" s="221" t="str">
        <v>CLOVIS CANNON AFB</v>
      </c>
      <c r="AZ7" s="221" t="str">
        <v>SYDNEY AP</v>
      </c>
      <c r="BC7" s="221" t="str">
        <v>LAS VEGAS MCCARRAN INTL AP</v>
      </c>
      <c r="BD7" s="221" t="str">
        <v>BUFFALO NIAGARA INTL AP</v>
      </c>
      <c r="BE7" s="221" t="str">
        <v>CLEVELAND HOPKINS INTL AP</v>
      </c>
      <c r="BF7" s="221" t="str">
        <v>FORT SILL POST FIELD AF</v>
      </c>
      <c r="BG7" s="221" t="str">
        <v>LAGOON CITY</v>
      </c>
      <c r="BH7" s="221" t="str">
        <v>BURNS MUNICIPAL ARPT [UO]</v>
      </c>
      <c r="BI7" s="221" t="str">
        <v>BUTLER CO (AWOS)</v>
      </c>
      <c r="BK7" s="221" t="str">
        <v>LASSOMPTION</v>
      </c>
      <c r="BN7" s="221" t="str">
        <v>COLUMBIA METRO ARPT</v>
      </c>
      <c r="BO7" s="221" t="str">
        <v>ELLSWORTH AFB</v>
      </c>
      <c r="BP7" s="221" t="str">
        <v>SASKATOON</v>
      </c>
      <c r="BQ7" s="221" t="str">
        <v>DYERSBURG MUNICIPAL AP</v>
      </c>
      <c r="BR7" s="221" t="str">
        <v>AMARILLO INTERNATIONAL AP [CANYON - UT]</v>
      </c>
      <c r="BS7" s="221" t="str">
        <v>HANKSVILLE AP</v>
      </c>
      <c r="BT7" s="221" t="str">
        <v>DAVISON AAF</v>
      </c>
      <c r="BV7" s="221" t="str">
        <v>SPRINGFIELD/HARTNES</v>
      </c>
      <c r="BW7" s="221" t="str">
        <v>FAIRCHILD AFB</v>
      </c>
      <c r="BX7" s="221" t="str">
        <v>JANESVILLE/ROCK CO.</v>
      </c>
      <c r="BY7" s="221" t="str">
        <v>ELKINS ELKINS-RANDOLPH CO ARP</v>
      </c>
      <c r="BZ7" s="221" t="str">
        <v>EVANSTON-UINTA COUNTY AP</v>
      </c>
      <c r="CD7" s="215">
        <v>5</v>
      </c>
      <c r="CF7" s="215" t="s">
        <v>11</v>
      </c>
      <c r="CG7" s="215" t="s">
        <v>37</v>
      </c>
    </row>
    <row r="8" spans="1:86" x14ac:dyDescent="0.35">
      <c r="A8" s="211" t="s">
        <v>72</v>
      </c>
      <c r="B8" s="211" t="s">
        <v>6</v>
      </c>
      <c r="C8" s="216" t="s">
        <v>79</v>
      </c>
      <c r="D8" s="222">
        <v>78.8</v>
      </c>
      <c r="E8" s="222">
        <v>-16.600000000000001</v>
      </c>
      <c r="F8" s="211">
        <v>-15</v>
      </c>
      <c r="H8" s="218" t="str">
        <f t="shared" si="2"/>
        <v>CA</v>
      </c>
      <c r="I8" s="218" t="str">
        <f>IFERROR(HLOOKUP('Air Source Heat Pump(s)'!D$7,'phius_monthly climate data'!$L$3:$CA$83,'phius_monthly climate data'!$CD8,FALSE),"")</f>
        <v>CHICAGO MIDWAY AP</v>
      </c>
      <c r="J8" s="221" t="s">
        <v>77</v>
      </c>
      <c r="K8" s="221" t="s">
        <v>10</v>
      </c>
      <c r="L8" s="221" t="str">
        <v>EDMONTON NAMAO</v>
      </c>
      <c r="N8" s="221" t="str">
        <v>ANCHORAGE MERRILL FIELD</v>
      </c>
      <c r="O8" s="221" t="str">
        <v>DOTHAN MUNICIPAL AP</v>
      </c>
      <c r="P8" s="221" t="str">
        <v>FLIPPIN (AWOS)</v>
      </c>
      <c r="Q8" s="221" t="str">
        <v>FLAGSTAFF PULLIAM ARPT</v>
      </c>
      <c r="R8" s="221" t="str">
        <v>CRANBROOK AP</v>
      </c>
      <c r="T8" s="221" t="str">
        <v>BISHOP AIRPORT</v>
      </c>
      <c r="U8" s="221" t="str">
        <v>BROOMFIELD/JEFFCO [BOULDER - SURFRAD]</v>
      </c>
      <c r="V8" s="221" t="str">
        <v>HARTFORD BRAINARD FD</v>
      </c>
      <c r="Y8" s="221" t="str">
        <v>FORT MYERS PAGE FIELD</v>
      </c>
      <c r="Z8" s="221" t="str">
        <v>AUGUSTA BUSH FIELD</v>
      </c>
      <c r="AA8" s="221" t="str">
        <v>KANEOHE BAY MCAS</v>
      </c>
      <c r="AB8" s="221" t="str">
        <v>CARROLL</v>
      </c>
      <c r="AC8" s="221" t="str">
        <v>IDAHO FALLS FANNING FIELD</v>
      </c>
      <c r="AD8" s="221" t="str">
        <v>CHICAGO MIDWAY AP</v>
      </c>
      <c r="AE8" s="221" t="str">
        <v>HUNTINGBURG</v>
      </c>
      <c r="AF8" s="221" t="str">
        <v>FORT RILEY MARSHALL AAF</v>
      </c>
      <c r="AG8" s="221" t="str">
        <v>HENDERSON CITY</v>
      </c>
      <c r="AH8" s="221" t="str">
        <v>FORT POLK AAF</v>
      </c>
      <c r="AI8" s="221" t="str">
        <v>LAWRENCE MUNI</v>
      </c>
      <c r="AK8" s="221" t="str">
        <v>SALISBURY WICOMICO CO AP</v>
      </c>
      <c r="AL8" s="221" t="str">
        <v>CARIBOU MUNICIPAL ARPT</v>
      </c>
      <c r="AM8" s="221" t="str">
        <v>CADILLAC WEXFORD CO AP</v>
      </c>
      <c r="AN8" s="221" t="str">
        <v>BAUDETTE INTERNATIONAL AP</v>
      </c>
      <c r="AO8" s="221" t="str">
        <v>JOPLIN MUNICIPAL AP</v>
      </c>
      <c r="AP8" s="221" t="str">
        <v>GULFPORT BILOXI INT</v>
      </c>
      <c r="AQ8" s="221" t="str">
        <v>GLASGOW INTL ARPT</v>
      </c>
      <c r="AS8" s="221" t="str">
        <v>DARE CO RGNL</v>
      </c>
      <c r="AT8" s="221" t="str">
        <v>GRAND FORKS AF</v>
      </c>
      <c r="AU8" s="221" t="str">
        <v>BREWSTER FIELD ARPT</v>
      </c>
      <c r="AW8" s="221" t="str">
        <v>LEBANON MUNICIPAL</v>
      </c>
      <c r="AX8" s="221" t="str">
        <v>MCGUIRE AFB</v>
      </c>
      <c r="AY8" s="221" t="str">
        <v>CLOVIS MUNI (AWOS)</v>
      </c>
      <c r="BC8" s="221" t="str">
        <v>LOVELOCK DERBY FIELD</v>
      </c>
      <c r="BD8" s="221" t="str">
        <v>ELMIRA CORNING REGIONAL AP</v>
      </c>
      <c r="BE8" s="221" t="str">
        <v>COLUMBUS PORT COLUMBUS INTL A</v>
      </c>
      <c r="BF8" s="221" t="str">
        <v>GAGE AIRPORT</v>
      </c>
      <c r="BG8" s="221" t="str">
        <v>LONDON AP</v>
      </c>
      <c r="BH8" s="221" t="str">
        <v>CORVALLIS MUNI</v>
      </c>
      <c r="BI8" s="221" t="str">
        <v>DUBOIS FAA AP</v>
      </c>
      <c r="BK8" s="221" t="str">
        <v>LENNOXVILLE</v>
      </c>
      <c r="BN8" s="221" t="str">
        <v>FLORENCE REGIONAL AP</v>
      </c>
      <c r="BO8" s="221" t="str">
        <v>HURON REGIONAL ARPT</v>
      </c>
      <c r="BQ8" s="221" t="str">
        <v>JACKSON MCKELLAR-SIPES REGL A</v>
      </c>
      <c r="BR8" s="221" t="str">
        <v>AUSTIN-CAMP MABRY</v>
      </c>
      <c r="BS8" s="221" t="str">
        <v>MOAB/CANYONLANDS [UO]</v>
      </c>
      <c r="BT8" s="221" t="str">
        <v>FARMVILLE</v>
      </c>
      <c r="BW8" s="221" t="str">
        <v>FELTS FLD</v>
      </c>
      <c r="BX8" s="221" t="str">
        <v>LA CROSSE MUNICIPAL ARPT</v>
      </c>
      <c r="BY8" s="221" t="str">
        <v>HARRISON MARION RGN</v>
      </c>
      <c r="BZ8" s="221" t="str">
        <v>GILLETTE/GILLETTE-C</v>
      </c>
      <c r="CD8" s="215">
        <v>6</v>
      </c>
      <c r="CF8" s="215" t="s">
        <v>14</v>
      </c>
      <c r="CG8" s="215" t="s">
        <v>52</v>
      </c>
    </row>
    <row r="9" spans="1:86" x14ac:dyDescent="0.35">
      <c r="A9" s="211" t="s">
        <v>72</v>
      </c>
      <c r="B9" s="211" t="s">
        <v>6</v>
      </c>
      <c r="C9" s="216" t="s">
        <v>80</v>
      </c>
      <c r="D9" s="222">
        <v>80.400000000000006</v>
      </c>
      <c r="E9" s="222">
        <v>-28.2</v>
      </c>
      <c r="F9" s="211">
        <v>-25</v>
      </c>
      <c r="H9" s="218" t="str">
        <f t="shared" si="2"/>
        <v>CO</v>
      </c>
      <c r="I9" s="218" t="str">
        <f>IFERROR(HLOOKUP('Air Source Heat Pump(s)'!D$7,'phius_monthly climate data'!$L$3:$CA$83,'phius_monthly climate data'!$CD9,FALSE),"")</f>
        <v>CHICAGO OHARE INTL AP</v>
      </c>
      <c r="J9" s="221" t="s">
        <v>77</v>
      </c>
      <c r="K9" s="221" t="s">
        <v>11</v>
      </c>
      <c r="L9" s="221" t="str">
        <v>FORT MCMURRAY AP</v>
      </c>
      <c r="N9" s="221" t="str">
        <v>ANCHORAGE/ELMENDORF</v>
      </c>
      <c r="O9" s="221" t="str">
        <v>GADSDEN MUNI AWOS</v>
      </c>
      <c r="P9" s="221" t="str">
        <v>FORT SMITH REGIONAL AP</v>
      </c>
      <c r="Q9" s="221" t="str">
        <v>GRAND CANYON NATL P</v>
      </c>
      <c r="R9" s="221" t="str">
        <v>DISCOVERY ISLAND</v>
      </c>
      <c r="T9" s="221" t="str">
        <v>BLUE CANYON AP</v>
      </c>
      <c r="U9" s="221" t="str">
        <v>COLORADO SPRINGS MUNI AP</v>
      </c>
      <c r="V9" s="221" t="str">
        <v>NEW HAVEN TWEED AIRPORT</v>
      </c>
      <c r="Y9" s="221" t="str">
        <v>GAINESVILLE REGIONAL AP</v>
      </c>
      <c r="Z9" s="221" t="str">
        <v>BRUNSWICK GOLDEN IS</v>
      </c>
      <c r="AA9" s="221" t="str">
        <v>KONA INTL AT KEAHOL</v>
      </c>
      <c r="AB9" s="221" t="str">
        <v>CEDAR RAPIDS MUNICIPAL AP</v>
      </c>
      <c r="AC9" s="221" t="str">
        <v>JOSLIN FLD MAGIC VA [TWIN FALLS - UO]</v>
      </c>
      <c r="AD9" s="221" t="str">
        <v>CHICAGO OHARE INTL AP</v>
      </c>
      <c r="AE9" s="221" t="str">
        <v>INDIANAPOLIS INTL AP</v>
      </c>
      <c r="AF9" s="221" t="str">
        <v>GARDEN CITY MUNICIPAL AP</v>
      </c>
      <c r="AG9" s="221" t="str">
        <v>JACKSON JULIAN CARROLL AP</v>
      </c>
      <c r="AH9" s="221" t="str">
        <v>LAFAYETTE REGIONAL AP</v>
      </c>
      <c r="AI9" s="221" t="str">
        <v>MARTHAS VINEYARD</v>
      </c>
      <c r="AL9" s="221" t="str">
        <v>HOULTON INTL ARPT</v>
      </c>
      <c r="AM9" s="221" t="str">
        <v>CHIPPEWA CO INTL</v>
      </c>
      <c r="AN9" s="221" t="str">
        <v>BEMIDJI MUNICIPAL</v>
      </c>
      <c r="AO9" s="221" t="str">
        <v>KAISER MEM (AWOS)</v>
      </c>
      <c r="AP9" s="221" t="str">
        <v>HATTIESBURG LAUREL</v>
      </c>
      <c r="AQ9" s="221" t="str">
        <v>GLENDIVE(AWOS)</v>
      </c>
      <c r="AS9" s="221" t="str">
        <v>ELIZABETH CITY COAST GUARD AI [NREL]</v>
      </c>
      <c r="AT9" s="221" t="str">
        <v>GRAND FORKS INTERNATIONAL AP</v>
      </c>
      <c r="AU9" s="221" t="str">
        <v>BROKEN BOW MUNI</v>
      </c>
      <c r="AW9" s="221" t="str">
        <v>MANCHESTER AIRPORT</v>
      </c>
      <c r="AX9" s="221" t="str">
        <v>MILLVILLE MUNICIPAL AP</v>
      </c>
      <c r="AY9" s="221" t="str">
        <v>DEMING MUNI</v>
      </c>
      <c r="BC9" s="221" t="str">
        <v>MERCURY DESERT ROCK AP [SURFRAD]</v>
      </c>
      <c r="BD9" s="221" t="str">
        <v>FORT DRUM/WHEELER-S</v>
      </c>
      <c r="BE9" s="221" t="str">
        <v>DAYTON INTERNATIONAL AIRPORT</v>
      </c>
      <c r="BF9" s="221" t="str">
        <v>HOBART MUNICIPAL AP</v>
      </c>
      <c r="BG9" s="221" t="str">
        <v>NORTH BAY AP</v>
      </c>
      <c r="BH9" s="221" t="str">
        <v>EUGENE MAHLON SWEET ARPT [UO]</v>
      </c>
      <c r="BI9" s="221" t="str">
        <v>ERIE INTERNATIONAL AP</v>
      </c>
      <c r="BK9" s="221" t="str">
        <v>MC TAVISH</v>
      </c>
      <c r="BN9" s="221" t="str">
        <v>GREENVILLE DOWNTOWN AP</v>
      </c>
      <c r="BO9" s="221" t="str">
        <v>MITCHELL (AWOS)</v>
      </c>
      <c r="BQ9" s="221" t="str">
        <v>KNOXVILLE MCGHEE TYSON AP</v>
      </c>
      <c r="BR9" s="221" t="str">
        <v>AUSTIN MUELLER MUNICIPAL AP [UT]</v>
      </c>
      <c r="BS9" s="221" t="str">
        <v>OGDEN HILL AFB</v>
      </c>
      <c r="BT9" s="221" t="str">
        <v>FRANKLIN NAAS</v>
      </c>
      <c r="BW9" s="221" t="str">
        <v>GRAY AAF</v>
      </c>
      <c r="BX9" s="221" t="str">
        <v>LONE ROCK FAA AP</v>
      </c>
      <c r="BY9" s="221" t="str">
        <v>HUNTINGTON TRI-STATE ARPT</v>
      </c>
      <c r="BZ9" s="221" t="str">
        <v>GREEN RIVER-GREATER GREEN RIVER INTERGALACTIC SPACEPORT</v>
      </c>
      <c r="CD9" s="215">
        <v>7</v>
      </c>
      <c r="CF9" s="215" t="s">
        <v>15</v>
      </c>
      <c r="CG9" s="215" t="s">
        <v>55</v>
      </c>
    </row>
    <row r="10" spans="1:86" x14ac:dyDescent="0.35">
      <c r="A10" s="211" t="s">
        <v>72</v>
      </c>
      <c r="B10" s="211" t="s">
        <v>6</v>
      </c>
      <c r="C10" s="216" t="s">
        <v>81</v>
      </c>
      <c r="D10" s="222">
        <v>78.3</v>
      </c>
      <c r="E10" s="222">
        <v>-24.4</v>
      </c>
      <c r="F10" s="211">
        <v>-21</v>
      </c>
      <c r="H10" s="218" t="str">
        <f t="shared" si="2"/>
        <v>CT</v>
      </c>
      <c r="I10" s="218" t="str">
        <f>IFERROR(HLOOKUP('Air Source Heat Pump(s)'!D$7,'phius_monthly climate data'!$L$3:$CA$83,'phius_monthly climate data'!$CD10,FALSE),"")</f>
        <v>CHICAGO/WAUKEGAN</v>
      </c>
      <c r="J10" s="221" t="s">
        <v>72</v>
      </c>
      <c r="K10" s="221" t="s">
        <v>12</v>
      </c>
      <c r="L10" s="221" t="str">
        <v>GRAND PRAIRIE</v>
      </c>
      <c r="N10" s="221" t="str">
        <v>ANIAK AIRPORT</v>
      </c>
      <c r="O10" s="221" t="str">
        <v>HUNTSVILLE INTL/JONES FIELD</v>
      </c>
      <c r="P10" s="221" t="str">
        <v>HARRISON FAA AP</v>
      </c>
      <c r="Q10" s="221" t="str">
        <v>KINGMAN (AMOS)</v>
      </c>
      <c r="R10" s="221" t="str">
        <v>ENTRANCE ISLAND</v>
      </c>
      <c r="T10" s="221" t="str">
        <v>BLYTHE RIVERSIDE CO ARPT</v>
      </c>
      <c r="U10" s="221" t="str">
        <v>CORTEZ/MONTEZUMA</v>
      </c>
      <c r="V10" s="221" t="str">
        <v>OXFORD (AWOS)</v>
      </c>
      <c r="Y10" s="221" t="str">
        <v>HOMESTEAD AFB</v>
      </c>
      <c r="Z10" s="221" t="str">
        <v>BRUNSWICK MALCOLM MCKINNON AP</v>
      </c>
      <c r="AA10" s="221" t="str">
        <v>LANAI AP</v>
      </c>
      <c r="AB10" s="221" t="str">
        <v>CHARITON</v>
      </c>
      <c r="AC10" s="221" t="str">
        <v>LEWISTON NEZ PERCE CNTY AP</v>
      </c>
      <c r="AD10" s="221" t="str">
        <v>CHICAGO/WAUKEGAN</v>
      </c>
      <c r="AE10" s="221" t="str">
        <v>LAFAYETTE PURDUE UNIV AP</v>
      </c>
      <c r="AF10" s="221" t="str">
        <v>GOODLAND RENNER FIELD</v>
      </c>
      <c r="AG10" s="221" t="str">
        <v>LEXINGTON BLUEGRASS AP</v>
      </c>
      <c r="AH10" s="221" t="str">
        <v>LAKE CHARLES REGIONAL ARPT</v>
      </c>
      <c r="AI10" s="221" t="str">
        <v>NANTUCKET MEMORIAL AP</v>
      </c>
      <c r="AL10" s="221" t="str">
        <v>MILLINOCKET MUNICIPAL AP</v>
      </c>
      <c r="AM10" s="221" t="str">
        <v>DETROIT CITY AIRPORT</v>
      </c>
      <c r="AN10" s="221" t="str">
        <v>BENSON MUNI</v>
      </c>
      <c r="AO10" s="221" t="str">
        <v>KANSAS CITY DOWNTOWN AP</v>
      </c>
      <c r="AP10" s="221" t="str">
        <v>JACKSON INTERNATIONAL AP</v>
      </c>
      <c r="AQ10" s="221" t="str">
        <v>GREAT FALLS INTL ARPT</v>
      </c>
      <c r="AS10" s="221" t="str">
        <v>FAYETTEVILLE POPE AFB</v>
      </c>
      <c r="AT10" s="221" t="str">
        <v>JAMESTOWN MUNICIPAL ARPT</v>
      </c>
      <c r="AU10" s="221" t="str">
        <v>CHADRON MUNI AP</v>
      </c>
      <c r="AW10" s="221" t="str">
        <v>MOUNT WASHINGTON</v>
      </c>
      <c r="AX10" s="221" t="str">
        <v>NEWARK INTERNATIONAL ARPT</v>
      </c>
      <c r="AY10" s="221" t="str">
        <v>FARMINGTON FOUR CORNERS REGL</v>
      </c>
      <c r="BC10" s="221" t="str">
        <v>NELLIS AFB</v>
      </c>
      <c r="BD10" s="221" t="str">
        <v>GLENS FALLS AP</v>
      </c>
      <c r="BE10" s="221" t="str">
        <v>FINDLAY AIRPORT</v>
      </c>
      <c r="BF10" s="221" t="str">
        <v>LAWTON MUNICIPAL</v>
      </c>
      <c r="BG10" s="221" t="str">
        <v>OTTAWA</v>
      </c>
      <c r="BH10" s="221" t="str">
        <v>KLAMATH FALLS INTL AP [UO]</v>
      </c>
      <c r="BI10" s="221" t="str">
        <v>FRANKLIN</v>
      </c>
      <c r="BK10" s="221" t="str">
        <v>MONT JOLI AB</v>
      </c>
      <c r="BN10" s="221" t="str">
        <v>GREER GREENV-SPARTANBRG AP</v>
      </c>
      <c r="BO10" s="221" t="str">
        <v>MOBRIDGE</v>
      </c>
      <c r="BQ10" s="221" t="str">
        <v>MEMPHIS INTERNATIONAL AP</v>
      </c>
      <c r="BR10" s="221" t="str">
        <v>BROWNSVILLE S PADRE ISL INTL</v>
      </c>
      <c r="BS10" s="221" t="str">
        <v>OGDEN HINKLEY AIRPORT</v>
      </c>
      <c r="BT10" s="221" t="str">
        <v>HILLSVILLE</v>
      </c>
      <c r="BW10" s="221" t="str">
        <v>HANFORD</v>
      </c>
      <c r="BX10" s="221" t="str">
        <v>MADISON DANE CO REGIONAL ARPT [ISIS]</v>
      </c>
      <c r="BY10" s="221" t="str">
        <v>LEWISBURG/GREENBRIE</v>
      </c>
      <c r="BZ10" s="221" t="str">
        <v>JACKSON HOLE</v>
      </c>
      <c r="CD10" s="215">
        <v>8</v>
      </c>
      <c r="CF10" s="215" t="s">
        <v>16</v>
      </c>
      <c r="CG10" s="215" t="s">
        <v>56</v>
      </c>
    </row>
    <row r="11" spans="1:86" x14ac:dyDescent="0.35">
      <c r="A11" s="211" t="s">
        <v>72</v>
      </c>
      <c r="B11" s="211" t="s">
        <v>6</v>
      </c>
      <c r="C11" s="216" t="s">
        <v>82</v>
      </c>
      <c r="D11" s="222">
        <v>79</v>
      </c>
      <c r="E11" s="222">
        <v>-19</v>
      </c>
      <c r="F11" s="211">
        <v>-13</v>
      </c>
      <c r="H11" s="218" t="str">
        <f t="shared" si="2"/>
        <v>DE</v>
      </c>
      <c r="I11" s="218" t="str">
        <f>IFERROR(HLOOKUP('Air Source Heat Pump(s)'!D$7,'phius_monthly climate data'!$L$3:$CA$83,'phius_monthly climate data'!$CD11,FALSE),"")</f>
        <v>DECATUR</v>
      </c>
      <c r="J11" s="221" t="s">
        <v>83</v>
      </c>
      <c r="K11" s="221" t="s">
        <v>13</v>
      </c>
      <c r="L11" s="221" t="str">
        <v>LACOMBE</v>
      </c>
      <c r="N11" s="221" t="str">
        <v>ANNETTE ISLAND AP</v>
      </c>
      <c r="O11" s="221" t="str">
        <v>MAXWELL AFB</v>
      </c>
      <c r="P11" s="221" t="str">
        <v>JONESBORO MUNI</v>
      </c>
      <c r="Q11" s="221" t="str">
        <v>LUKE AFB</v>
      </c>
      <c r="R11" s="221" t="str">
        <v>ESQUIMALT HARBOUR</v>
      </c>
      <c r="T11" s="221" t="str">
        <v>BURBANK-GLENDALE-PASADENA AP</v>
      </c>
      <c r="U11" s="221" t="str">
        <v>CRAIG-MOFFAT</v>
      </c>
      <c r="Y11" s="221" t="str">
        <v>JACKSONVILLE INTL ARPT</v>
      </c>
      <c r="Z11" s="221" t="str">
        <v>COLUMBUS METROPOLITAN ARPT</v>
      </c>
      <c r="AA11" s="221" t="str">
        <v>LIHUE AIRPORT</v>
      </c>
      <c r="AB11" s="221" t="str">
        <v>CHARLES CITY</v>
      </c>
      <c r="AC11" s="221" t="str">
        <v>MOUNTAIN HOME AFB</v>
      </c>
      <c r="AD11" s="221" t="str">
        <v>DECATUR</v>
      </c>
      <c r="AE11" s="221" t="str">
        <v>MONROE CO</v>
      </c>
      <c r="AF11" s="221" t="str">
        <v>GREAT BEND (AWOS)</v>
      </c>
      <c r="AG11" s="221" t="str">
        <v>LONDON-CORBIN AP</v>
      </c>
      <c r="AH11" s="221" t="str">
        <v>MONROE REGIONAL AP</v>
      </c>
      <c r="AI11" s="221" t="str">
        <v>NEW BEDFORD RGNL</v>
      </c>
      <c r="AL11" s="221" t="str">
        <v>NORTHERN AROOSTOOK</v>
      </c>
      <c r="AM11" s="221" t="str">
        <v>DETROIT METROPOLITAN ARPT</v>
      </c>
      <c r="AN11" s="221" t="str">
        <v>BRAINERD/WIELAND</v>
      </c>
      <c r="AO11" s="221" t="str">
        <v>KANSAS CITY INT ARPT</v>
      </c>
      <c r="AP11" s="221" t="str">
        <v>KEESLER AFB</v>
      </c>
      <c r="AQ11" s="221" t="str">
        <v>HAVRE CITY-COUNTY AP</v>
      </c>
      <c r="AS11" s="221" t="str">
        <v>FAYETTEVILLE RGNL G</v>
      </c>
      <c r="AT11" s="221" t="str">
        <v>MINOT AFB</v>
      </c>
      <c r="AU11" s="221" t="str">
        <v>COLUMBUS MUNI</v>
      </c>
      <c r="AW11" s="221" t="str">
        <v>PEASE INTL TRADEPOR</v>
      </c>
      <c r="AX11" s="221" t="str">
        <v>TETERBORO AIRPORT</v>
      </c>
      <c r="AY11" s="221" t="str">
        <v>GALLUP SEN CLARKE FLD</v>
      </c>
      <c r="BC11" s="221" t="str">
        <v>RENO TAHOE INTERNATIONAL AP</v>
      </c>
      <c r="BD11" s="221" t="str">
        <v>ISLIP LONG ISL MACARTHUR AP</v>
      </c>
      <c r="BE11" s="221" t="str">
        <v>MANSFIELD LAHM MUNICIPAL ARPT</v>
      </c>
      <c r="BF11" s="221" t="str">
        <v>MCALESTER MUNICIPAL AP</v>
      </c>
      <c r="BG11" s="221" t="str">
        <v>PETERBOROUGH AP</v>
      </c>
      <c r="BH11" s="221" t="str">
        <v>LA GRANDE MUNI AP</v>
      </c>
      <c r="BI11" s="221" t="str">
        <v>HARRISBURG CAPITAL CITY ARPT</v>
      </c>
      <c r="BK11" s="221" t="str">
        <v>MONT-ORFORD</v>
      </c>
      <c r="BN11" s="221" t="str">
        <v>MYRTLE BEACH AFB</v>
      </c>
      <c r="BO11" s="221" t="str">
        <v>PIERRE MUNICIPAL AP</v>
      </c>
      <c r="BQ11" s="221" t="str">
        <v>NASHVILLE INTERNATIONAL AP</v>
      </c>
      <c r="BR11" s="221" t="str">
        <v>CHILDRESS MUNICIPAL AP</v>
      </c>
      <c r="BS11" s="221" t="str">
        <v>PROVO MUNI (AWOS)</v>
      </c>
      <c r="BT11" s="221" t="str">
        <v>HOT SPRINGS/INGALLS</v>
      </c>
      <c r="BW11" s="221" t="str">
        <v>HOQUIAM AP</v>
      </c>
      <c r="BX11" s="221" t="str">
        <v>MANITOWOC MUNI AWOS</v>
      </c>
      <c r="BY11" s="221" t="str">
        <v>MARTINSBURG EASTERN WV REG AP</v>
      </c>
      <c r="BZ11" s="221" t="str">
        <v>LANDER HUNT FIELD</v>
      </c>
      <c r="CD11" s="215">
        <v>9</v>
      </c>
      <c r="CF11" s="215" t="s">
        <v>17</v>
      </c>
      <c r="CG11" s="215" t="s">
        <v>61</v>
      </c>
    </row>
    <row r="12" spans="1:86" x14ac:dyDescent="0.35">
      <c r="A12" s="211" t="s">
        <v>72</v>
      </c>
      <c r="B12" s="211" t="s">
        <v>6</v>
      </c>
      <c r="C12" s="216" t="s">
        <v>84</v>
      </c>
      <c r="D12" s="222">
        <v>84.7</v>
      </c>
      <c r="E12" s="222">
        <v>-14.6</v>
      </c>
      <c r="F12" s="211">
        <v>-6</v>
      </c>
      <c r="H12" s="218" t="str">
        <f t="shared" si="2"/>
        <v>FL</v>
      </c>
      <c r="I12" s="218" t="str">
        <f>IFERROR(HLOOKUP('Air Source Heat Pump(s)'!D$7,'phius_monthly climate data'!$L$3:$CA$83,'phius_monthly climate data'!$CD12,FALSE),"")</f>
        <v>MARION REGIONAL</v>
      </c>
      <c r="J12" s="221" t="s">
        <v>77</v>
      </c>
      <c r="K12" s="221" t="s">
        <v>14</v>
      </c>
      <c r="L12" s="221" t="str">
        <v>LETHBRIDGE</v>
      </c>
      <c r="N12" s="221" t="str">
        <v>ANVIK</v>
      </c>
      <c r="O12" s="221" t="str">
        <v>MOBILE DOWNTOWN AP</v>
      </c>
      <c r="P12" s="221" t="str">
        <v>LITTLE ROCK ADAMS FIELD</v>
      </c>
      <c r="Q12" s="221" t="str">
        <v>PAGE MUNI (AMOS)</v>
      </c>
      <c r="R12" s="221" t="str">
        <v>FORT NELSON</v>
      </c>
      <c r="T12" s="221" t="str">
        <v>CAMARILLO (AWOS)</v>
      </c>
      <c r="U12" s="221" t="str">
        <v>DENVER INTL AP</v>
      </c>
      <c r="Y12" s="221" t="str">
        <v>JACKSONVILLE NAS</v>
      </c>
      <c r="Z12" s="221" t="str">
        <v>DEKALB PEACHTREE</v>
      </c>
      <c r="AA12" s="221" t="str">
        <v>MOLOKAI (AMOS)</v>
      </c>
      <c r="AB12" s="221" t="str">
        <v>CLARINDA</v>
      </c>
      <c r="AC12" s="221" t="str">
        <v>POCATELLO REGIONAL AP</v>
      </c>
      <c r="AD12" s="221" t="str">
        <v>MARION REGIONAL</v>
      </c>
      <c r="AE12" s="221" t="str">
        <v>SOUTH BEND MICHIANA RGNL AP</v>
      </c>
      <c r="AF12" s="221" t="str">
        <v>HAYS MUNI (AWOS)</v>
      </c>
      <c r="AG12" s="221" t="str">
        <v>LOUISVILLE BOWMAN FIELD</v>
      </c>
      <c r="AH12" s="221" t="str">
        <v>NEW IBERIA NAAS</v>
      </c>
      <c r="AI12" s="221" t="str">
        <v>NORTH ADAMS</v>
      </c>
      <c r="AL12" s="221" t="str">
        <v>PORTLAND INTL JETPORT</v>
      </c>
      <c r="AM12" s="221" t="str">
        <v>DETROIT WILLOW RUN AP</v>
      </c>
      <c r="AN12" s="221" t="str">
        <v>CAMBRIDGE MUNI</v>
      </c>
      <c r="AO12" s="221" t="str">
        <v>KIRKSVILLE REGIONAL AP</v>
      </c>
      <c r="AP12" s="221" t="str">
        <v>MCCOMB PIKE COUNTY AP</v>
      </c>
      <c r="AQ12" s="221" t="str">
        <v>HELENA REGIONAL AIRPORT</v>
      </c>
      <c r="AS12" s="221" t="str">
        <v>FORT BRAGG SIMMONS AAF</v>
      </c>
      <c r="AT12" s="221" t="str">
        <v>MINOT FAA AP</v>
      </c>
      <c r="AU12" s="221" t="str">
        <v>FALLS CITY/BRENNER</v>
      </c>
      <c r="AX12" s="221" t="str">
        <v>TRENTON MERCER COUNTY AP</v>
      </c>
      <c r="AY12" s="221" t="str">
        <v>HOLLOMAN AFB</v>
      </c>
      <c r="BC12" s="221" t="str">
        <v>TONOPAH AIRPORT</v>
      </c>
      <c r="BD12" s="221" t="str">
        <v>JAMESTOWN (AWOS)</v>
      </c>
      <c r="BE12" s="221" t="str">
        <v>OHIO STATE UNIVERSI</v>
      </c>
      <c r="BF12" s="221" t="str">
        <v>OKLAHOMA CITY TINKER AFB</v>
      </c>
      <c r="BG12" s="221" t="str">
        <v>PORT WELLER</v>
      </c>
      <c r="BH12" s="221" t="str">
        <v>LAKEVIEW (AWOS)</v>
      </c>
      <c r="BI12" s="221" t="str">
        <v>JOHNSTOWN CAMBRIA COUNTY AP</v>
      </c>
      <c r="BK12" s="221" t="str">
        <v>MONTREAL</v>
      </c>
      <c r="BN12" s="221" t="str">
        <v>NORTH MYRTLE BEACH-GRAND STRAND FIELD</v>
      </c>
      <c r="BO12" s="221" t="str">
        <v>RAPID CITY REGIONAL ARPT</v>
      </c>
      <c r="BR12" s="221" t="str">
        <v>COLLEGE STATION EASTERWOOD FL</v>
      </c>
      <c r="BS12" s="221" t="str">
        <v>SAINT GEORGE (AWOS)</v>
      </c>
      <c r="BT12" s="221" t="str">
        <v>LANGLEY AFB</v>
      </c>
      <c r="BW12" s="221" t="str">
        <v>KELSO WB AP</v>
      </c>
      <c r="BX12" s="221" t="str">
        <v>MARSHFIELD MUNI</v>
      </c>
      <c r="BY12" s="221" t="str">
        <v>MORGANTOWN HART FIELD</v>
      </c>
      <c r="BZ12" s="221" t="str">
        <v>LARAMIE GENERAL BREES FIELD</v>
      </c>
      <c r="CD12" s="215">
        <v>10</v>
      </c>
      <c r="CF12" s="215" t="s">
        <v>18</v>
      </c>
      <c r="CG12" s="215" t="s">
        <v>71</v>
      </c>
    </row>
    <row r="13" spans="1:86" x14ac:dyDescent="0.35">
      <c r="A13" s="211" t="s">
        <v>72</v>
      </c>
      <c r="B13" s="211" t="s">
        <v>6</v>
      </c>
      <c r="C13" s="216" t="s">
        <v>85</v>
      </c>
      <c r="D13" s="222">
        <v>87.4</v>
      </c>
      <c r="E13" s="222">
        <v>-15.5</v>
      </c>
      <c r="F13" s="211">
        <v>-10</v>
      </c>
      <c r="H13" s="218" t="str">
        <f t="shared" si="2"/>
        <v>GA</v>
      </c>
      <c r="I13" s="218" t="str">
        <f>IFERROR(HLOOKUP('Air Source Heat Pump(s)'!D$7,'phius_monthly climate data'!$L$3:$CA$83,'phius_monthly climate data'!$CD13,FALSE),"")</f>
        <v>MOLINE QUAD CITY INTL AP</v>
      </c>
      <c r="J13" s="221" t="s">
        <v>77</v>
      </c>
      <c r="K13" s="221" t="s">
        <v>15</v>
      </c>
      <c r="L13" s="221" t="str">
        <v>MEDICINE AP</v>
      </c>
      <c r="N13" s="221" t="str">
        <v>BARROW W POST-W ROGERS ARPT [NSA - ARM]</v>
      </c>
      <c r="O13" s="221" t="str">
        <v>MOBILE REGIONAL AP</v>
      </c>
      <c r="P13" s="221" t="str">
        <v>LITTLE ROCK AFB</v>
      </c>
      <c r="Q13" s="221" t="str">
        <v>PHOENIX SKY HARBOR INTL AP</v>
      </c>
      <c r="R13" s="221" t="str">
        <v>FORT SAINT JOHN</v>
      </c>
      <c r="T13" s="221" t="str">
        <v>CAMP PENDLETON MCAS</v>
      </c>
      <c r="U13" s="221" t="str">
        <v>DENVER/CENTENNIAL [GOLDEN - NREL]</v>
      </c>
      <c r="Y13" s="221" t="str">
        <v>JACKSONVILLE/CRAIG</v>
      </c>
      <c r="Z13" s="221" t="str">
        <v>FORT BENNING LAWSON</v>
      </c>
      <c r="AB13" s="221" t="str">
        <v>CLINTON MUNI (AWOS)</v>
      </c>
      <c r="AC13" s="221" t="str">
        <v>SALMON/LEMHI (AWOS)</v>
      </c>
      <c r="AD13" s="221" t="str">
        <v>MOLINE QUAD CITY INTL AP</v>
      </c>
      <c r="AE13" s="221" t="str">
        <v>TERRE HAUTE HULMAN REGIONAL A</v>
      </c>
      <c r="AF13" s="221" t="str">
        <v>HILL CITY MUNICIPAL AP</v>
      </c>
      <c r="AG13" s="221" t="str">
        <v>LOUISVILLE STANDIFORD FIELD</v>
      </c>
      <c r="AH13" s="221" t="str">
        <v>NEW ORLEANS ALVIN CALLENDER F</v>
      </c>
      <c r="AI13" s="221" t="str">
        <v>NORWOOD MEMORIAL</v>
      </c>
      <c r="AL13" s="221" t="str">
        <v>PRESQUE ISLE MUNICIP</v>
      </c>
      <c r="AM13" s="221" t="str">
        <v>ESCANABA (AWOS)</v>
      </c>
      <c r="AN13" s="221" t="str">
        <v>CLOQUET (AWOS)</v>
      </c>
      <c r="AO13" s="221" t="str">
        <v>POPLAR BLUFF(AMOS)</v>
      </c>
      <c r="AP13" s="221" t="str">
        <v>MERIDIAN KEY FIELD</v>
      </c>
      <c r="AQ13" s="221" t="str">
        <v>KALISPELL GLACIER PK INT AR</v>
      </c>
      <c r="AS13" s="221" t="str">
        <v>GOLDSBORO SEYMOUR JOHNSON AFB</v>
      </c>
      <c r="AT13" s="221" t="str">
        <v>WILLISTON SLOULIN INTL AP</v>
      </c>
      <c r="AU13" s="221" t="str">
        <v>FREMONT MUNI ARPT</v>
      </c>
      <c r="AY13" s="221" t="str">
        <v>LAS CRUCES INTL AP</v>
      </c>
      <c r="BC13" s="221" t="str">
        <v>WINNEMUCCA MUNICIPAL ARPT</v>
      </c>
      <c r="BD13" s="221" t="str">
        <v>MASSENA AP</v>
      </c>
      <c r="BE13" s="221" t="str">
        <v>TOLEDO EXPRESS AIRPORT</v>
      </c>
      <c r="BF13" s="221" t="str">
        <v>OKLAHOMA CITY WILL ROGERS WOR</v>
      </c>
      <c r="BG13" s="221" t="str">
        <v>SAULT STE MARIE</v>
      </c>
      <c r="BH13" s="221" t="str">
        <v>MEDFORD ROGUE VALLEY INTL AP [ASHLAND - UO]</v>
      </c>
      <c r="BI13" s="221" t="str">
        <v>LANCASTER</v>
      </c>
      <c r="BK13" s="221" t="str">
        <v>MONTREAL-MIRABEL</v>
      </c>
      <c r="BN13" s="221" t="str">
        <v>SUMTER SHAW AFB</v>
      </c>
      <c r="BO13" s="221" t="str">
        <v>SIOUX FALLS FOSS FIELD</v>
      </c>
      <c r="BR13" s="221" t="str">
        <v>CORPUS CHRISTI INTL ARPT [UT]</v>
      </c>
      <c r="BS13" s="221" t="str">
        <v>SALT LAKE CITY INT ARPT [ISIS]</v>
      </c>
      <c r="BT13" s="221" t="str">
        <v>LEESBURG/GODFREY</v>
      </c>
      <c r="BW13" s="221" t="str">
        <v>MOSES LAKE GRANT COUNTY AP</v>
      </c>
      <c r="BX13" s="221" t="str">
        <v>MILWAUKEE MITCHELL INTL AP</v>
      </c>
      <c r="BY13" s="221" t="str">
        <v>PARKERSBURG WOOD COUNTY AP</v>
      </c>
      <c r="BZ13" s="221" t="str">
        <v>RAWLINS MUNICIPAL AP</v>
      </c>
      <c r="CD13" s="215">
        <v>11</v>
      </c>
      <c r="CF13" s="215" t="s">
        <v>19</v>
      </c>
      <c r="CG13" s="215" t="s">
        <v>1145</v>
      </c>
    </row>
    <row r="14" spans="1:86" x14ac:dyDescent="0.35">
      <c r="A14" s="211" t="s">
        <v>72</v>
      </c>
      <c r="B14" s="211" t="s">
        <v>6</v>
      </c>
      <c r="C14" s="216" t="s">
        <v>86</v>
      </c>
      <c r="D14" s="222">
        <v>78.8</v>
      </c>
      <c r="E14" s="222">
        <v>-18.8</v>
      </c>
      <c r="F14" s="211">
        <v>-13</v>
      </c>
      <c r="H14" s="218" t="str">
        <f t="shared" si="2"/>
        <v>HI</v>
      </c>
      <c r="I14" s="218" t="str">
        <f>IFERROR(HLOOKUP('Air Source Heat Pump(s)'!D$7,'phius_monthly climate data'!$L$3:$CA$83,'phius_monthly climate data'!$CD14,FALSE),"")</f>
        <v>MOUNT VERNON (AWOS)</v>
      </c>
      <c r="J14" s="221" t="s">
        <v>87</v>
      </c>
      <c r="K14" s="221" t="s">
        <v>15</v>
      </c>
      <c r="L14" s="221" t="str">
        <v>RED DEER AP</v>
      </c>
      <c r="N14" s="221" t="str">
        <v>BETHEL AIRPORT</v>
      </c>
      <c r="O14" s="221" t="str">
        <v>MONTGOMERY DANNELLY FIELD</v>
      </c>
      <c r="P14" s="221" t="str">
        <v>PINE BLUFF FAA AP</v>
      </c>
      <c r="Q14" s="221" t="str">
        <v>PRESCOTT LOVE FIELD</v>
      </c>
      <c r="R14" s="221" t="str">
        <v>KAMLOOPS AP</v>
      </c>
      <c r="T14" s="221" t="str">
        <v>CARLSBAD/PALOMAR</v>
      </c>
      <c r="U14" s="221" t="str">
        <v>DURANGO/LA PLATA CO</v>
      </c>
      <c r="Y14" s="221" t="str">
        <v>KEY WEST INTL ARPT</v>
      </c>
      <c r="Z14" s="221" t="str">
        <v>FULTON CO ARPT BROW</v>
      </c>
      <c r="AB14" s="221" t="str">
        <v>COUNCIL BLUFFS</v>
      </c>
      <c r="AD14" s="221" t="str">
        <v>MOUNT VERNON (AWOS)</v>
      </c>
      <c r="AF14" s="221" t="str">
        <v>HUTCHINSON MUNICIPAL AP</v>
      </c>
      <c r="AG14" s="221" t="str">
        <v>PADUCAH BARKLEY REGIONAL AP</v>
      </c>
      <c r="AH14" s="221" t="str">
        <v>NEW ORLEANS INTL ARPT</v>
      </c>
      <c r="AI14" s="221" t="str">
        <v>OTIS ANGB</v>
      </c>
      <c r="AL14" s="221" t="str">
        <v>ROCKLAND/KNOX(AWOS)</v>
      </c>
      <c r="AM14" s="221" t="str">
        <v>FLINT BISHOP INTL ARPT</v>
      </c>
      <c r="AN14" s="221" t="str">
        <v>CRANE LAKE (AWOS)</v>
      </c>
      <c r="AO14" s="221" t="str">
        <v>SPRINGFIELD REGIONAL ARPT</v>
      </c>
      <c r="AP14" s="221" t="str">
        <v>MERIDIAN NAAS</v>
      </c>
      <c r="AQ14" s="221" t="str">
        <v>LEWISTOWN MUNICIPAL ARPT</v>
      </c>
      <c r="AS14" s="221" t="str">
        <v>GREENSBORO PIEDMONT TRIAD INT</v>
      </c>
      <c r="AU14" s="221" t="str">
        <v>GRAND ISLAND CENTRAL NE REGIO</v>
      </c>
      <c r="AY14" s="221" t="str">
        <v>LAS VEGAS MUNICIPAL ARPT</v>
      </c>
      <c r="BD14" s="221" t="str">
        <v>MONTICELLO(AWOS)</v>
      </c>
      <c r="BE14" s="221" t="str">
        <v>YOUNGSTOWN REGIONAL AIRPORT</v>
      </c>
      <c r="BF14" s="221" t="str">
        <v>OKLAHOMA CITY/WILEY</v>
      </c>
      <c r="BG14" s="221" t="str">
        <v>SUDBURY AP</v>
      </c>
      <c r="BH14" s="221" t="str">
        <v>NORTH BEND MUNI AIRPORT</v>
      </c>
      <c r="BI14" s="221" t="str">
        <v>MIDDLETOWN HARRISBURG INTL AP</v>
      </c>
      <c r="BK14" s="221" t="str">
        <v>NICOLET</v>
      </c>
      <c r="BO14" s="221" t="str">
        <v>WATERTOWN MUNICIPAL AP</v>
      </c>
      <c r="BR14" s="221" t="str">
        <v>CORPUS CHRISTI NAS</v>
      </c>
      <c r="BS14" s="221" t="str">
        <v>VERNAL</v>
      </c>
      <c r="BT14" s="221" t="str">
        <v>LYNCHBURG REGIONAL ARPT</v>
      </c>
      <c r="BW14" s="221" t="str">
        <v>OLYMPIA AIRPORT</v>
      </c>
      <c r="BX14" s="221" t="str">
        <v>MINOCQUA/WOODRUFF</v>
      </c>
      <c r="BY14" s="221" t="str">
        <v>WHEELING OHIO COUNTY AP</v>
      </c>
      <c r="BZ14" s="221" t="str">
        <v>RIVERTON MUNICIPL AP</v>
      </c>
      <c r="CD14" s="215">
        <v>12</v>
      </c>
      <c r="CF14" s="215" t="s">
        <v>20</v>
      </c>
      <c r="CG14" s="215" t="s">
        <v>1145</v>
      </c>
    </row>
    <row r="15" spans="1:86" x14ac:dyDescent="0.35">
      <c r="A15" s="211" t="s">
        <v>72</v>
      </c>
      <c r="B15" s="211" t="s">
        <v>6</v>
      </c>
      <c r="C15" s="216" t="s">
        <v>88</v>
      </c>
      <c r="D15" s="222">
        <v>76.8</v>
      </c>
      <c r="E15" s="222">
        <v>-17.899999999999999</v>
      </c>
      <c r="F15" s="211">
        <v>-8</v>
      </c>
      <c r="H15" s="218" t="str">
        <f t="shared" si="2"/>
        <v>IA</v>
      </c>
      <c r="I15" s="218" t="str">
        <f>IFERROR(HLOOKUP('Air Source Heat Pump(s)'!D$7,'phius_monthly climate data'!$L$3:$CA$83,'phius_monthly climate data'!$CD15,FALSE),"")</f>
        <v>PEORIA GREATER PEORIA AP</v>
      </c>
      <c r="J15" s="221" t="s">
        <v>77</v>
      </c>
      <c r="K15" s="221" t="s">
        <v>16</v>
      </c>
      <c r="L15" s="221" t="str">
        <v>SPRINGBANK</v>
      </c>
      <c r="N15" s="221" t="str">
        <v>BETTLES FIELD</v>
      </c>
      <c r="O15" s="221" t="str">
        <v>MUSCLE SHOALS REGIONAL AP</v>
      </c>
      <c r="P15" s="221" t="str">
        <v>ROGERS (AWOS)</v>
      </c>
      <c r="Q15" s="221" t="str">
        <v>SAFFORD (AMOS)</v>
      </c>
      <c r="R15" s="221" t="str">
        <v>KELOWNA AP</v>
      </c>
      <c r="T15" s="221" t="str">
        <v>CHINA LAKE NAF</v>
      </c>
      <c r="U15" s="221" t="str">
        <v>EAGLE COUNTY AP</v>
      </c>
      <c r="Y15" s="221" t="str">
        <v>KEY WEST NAS</v>
      </c>
      <c r="Z15" s="221" t="str">
        <v>HUNTER AAF</v>
      </c>
      <c r="AB15" s="221" t="str">
        <v>CRESTON</v>
      </c>
      <c r="AD15" s="221" t="str">
        <v>PEORIA GREATER PEORIA AP</v>
      </c>
      <c r="AF15" s="221" t="str">
        <v>LIBERAL MUNI</v>
      </c>
      <c r="AG15" s="221" t="str">
        <v>SOMERSET(AWOS)</v>
      </c>
      <c r="AH15" s="221" t="str">
        <v>NEW ORLEANS LAKEFRONT AP</v>
      </c>
      <c r="AI15" s="221" t="str">
        <v>PLYMOUTH MUNICIPAL</v>
      </c>
      <c r="AL15" s="221" t="str">
        <v>SANFORD MUNI (AWOS)</v>
      </c>
      <c r="AM15" s="221" t="str">
        <v>GRAND RAPIDS KENT COUNTY INT</v>
      </c>
      <c r="AN15" s="221" t="str">
        <v>CROOKSTON MUNI FLD</v>
      </c>
      <c r="AO15" s="221" t="str">
        <v>ST JOSEPH ROSECRANS MEMORIAL</v>
      </c>
      <c r="AP15" s="221" t="str">
        <v>NATCHEZ/HARDY(AWOS)</v>
      </c>
      <c r="AQ15" s="221" t="str">
        <v>LIVINGSTON MISSION FIELD</v>
      </c>
      <c r="AS15" s="221" t="str">
        <v>HICKORY REGIONAL AP</v>
      </c>
      <c r="AU15" s="221" t="str">
        <v>HASTINGS MUNICIPAL</v>
      </c>
      <c r="AY15" s="221" t="str">
        <v>ROSWELL INDUSTRIAL AIR PARK</v>
      </c>
      <c r="BD15" s="221" t="str">
        <v>NEW YORK CENTRAL PRK OBS BELV</v>
      </c>
      <c r="BE15" s="221" t="str">
        <v>ZANESVILLE MUNICIPAL AP</v>
      </c>
      <c r="BF15" s="221" t="str">
        <v>PONCA CITY MUNICIPAL AP [SGP - ARM]</v>
      </c>
      <c r="BG15" s="221" t="str">
        <v>THUNDER BAY AP</v>
      </c>
      <c r="BH15" s="221" t="str">
        <v>PENDLETON E OR REGIONAL AP</v>
      </c>
      <c r="BI15" s="221" t="str">
        <v>PHILADELPHIA INTERNATIONAL AP</v>
      </c>
      <c r="BK15" s="221" t="str">
        <v>POINT-AU-PERE</v>
      </c>
      <c r="BR15" s="221" t="str">
        <v>COTULLA FAA AP</v>
      </c>
      <c r="BS15" s="221" t="str">
        <v>WENDOVER USAF AUXILIARY FIELD</v>
      </c>
      <c r="BT15" s="221" t="str">
        <v>MANASSAS MUNI(AWOS)</v>
      </c>
      <c r="BW15" s="221" t="str">
        <v>PASCO</v>
      </c>
      <c r="BX15" s="221" t="str">
        <v>MOSINEE/CENTRAL WI</v>
      </c>
      <c r="BZ15" s="221" t="str">
        <v>SHERIDAN COUNTY ARPT</v>
      </c>
      <c r="CD15" s="215">
        <v>13</v>
      </c>
      <c r="CF15" s="215" t="s">
        <v>21</v>
      </c>
      <c r="CG15" s="215" t="s">
        <v>1145</v>
      </c>
    </row>
    <row r="16" spans="1:86" x14ac:dyDescent="0.35">
      <c r="A16" s="211" t="s">
        <v>75</v>
      </c>
      <c r="B16" s="211" t="s">
        <v>7</v>
      </c>
      <c r="C16" s="216" t="s">
        <v>89</v>
      </c>
      <c r="D16" s="222">
        <v>107.3</v>
      </c>
      <c r="E16" s="222">
        <v>57.5</v>
      </c>
      <c r="F16" s="211">
        <v>61</v>
      </c>
      <c r="H16" s="218" t="str">
        <f t="shared" si="2"/>
        <v>ID</v>
      </c>
      <c r="I16" s="218" t="str">
        <f>IFERROR(HLOOKUP('Air Source Heat Pump(s)'!D$7,'phius_monthly climate data'!$L$3:$CA$83,'phius_monthly climate data'!$CD16,FALSE),"")</f>
        <v>QUINCY MUNI BALDWIN FLD</v>
      </c>
      <c r="J16" s="221" t="s">
        <v>77</v>
      </c>
      <c r="K16" s="221" t="s">
        <v>17</v>
      </c>
      <c r="N16" s="221" t="str">
        <v>BIG DELTA ALLEN AAF</v>
      </c>
      <c r="O16" s="221" t="str">
        <v>TROY AIR FIELD</v>
      </c>
      <c r="P16" s="221" t="str">
        <v>SILOAM SPRING(AWOS)</v>
      </c>
      <c r="Q16" s="221" t="str">
        <v>SCOTTSDALE MUNI</v>
      </c>
      <c r="R16" s="221" t="str">
        <v>MALAHAT</v>
      </c>
      <c r="T16" s="221" t="str">
        <v>CHINO AIRPORT</v>
      </c>
      <c r="U16" s="221" t="str">
        <v>FORT COLLINS (AWOS)</v>
      </c>
      <c r="Y16" s="221" t="str">
        <v>MACDILL AFB</v>
      </c>
      <c r="Z16" s="221" t="str">
        <v>MACON MIDDLE GA REGIONAL AP</v>
      </c>
      <c r="AB16" s="221" t="str">
        <v>DECORAH</v>
      </c>
      <c r="AD16" s="221" t="str">
        <v>QUINCY MUNI BALDWIN FLD</v>
      </c>
      <c r="AF16" s="221" t="str">
        <v>MANHATTAN RGNL</v>
      </c>
      <c r="AH16" s="221" t="str">
        <v>PATTERSON MEMORIAL</v>
      </c>
      <c r="AI16" s="221" t="str">
        <v>PROVINCETOWN (AWOS)</v>
      </c>
      <c r="AL16" s="221" t="str">
        <v>WATERVILLE (AWOS)</v>
      </c>
      <c r="AM16" s="221" t="str">
        <v>HANCOCK HOUGHTON CO AP</v>
      </c>
      <c r="AN16" s="221" t="str">
        <v>DETROIT LAKES(AWOS)</v>
      </c>
      <c r="AO16" s="221" t="str">
        <v>ST LOUIS LAMBERT INT ARPT</v>
      </c>
      <c r="AP16" s="221" t="str">
        <v>TUPELO C D LEMONS ARPT</v>
      </c>
      <c r="AQ16" s="221" t="str">
        <v>MILES CITY MUNICIPAL ARPT</v>
      </c>
      <c r="AS16" s="221" t="str">
        <v>JACKSONVILLE (AWOS)</v>
      </c>
      <c r="AU16" s="221" t="str">
        <v>IMPERIAL MUNI AP</v>
      </c>
      <c r="AY16" s="221" t="str">
        <v>SANTA FE COUNTY MUNICIPAL AP</v>
      </c>
      <c r="BD16" s="221" t="str">
        <v>NEW YORK J F KENNEDY INT AR</v>
      </c>
      <c r="BF16" s="221" t="str">
        <v>STILLWATER RGNL</v>
      </c>
      <c r="BG16" s="221" t="str">
        <v>TIMMINS AP</v>
      </c>
      <c r="BH16" s="221" t="str">
        <v>PORTLAND INTERNATIONAL AP</v>
      </c>
      <c r="BI16" s="221" t="str">
        <v>PHILADELPHIA NE PHILADELPHIA</v>
      </c>
      <c r="BK16" s="221" t="str">
        <v>QUEBEC AP</v>
      </c>
      <c r="BR16" s="221" t="str">
        <v>COX FLD</v>
      </c>
      <c r="BT16" s="221" t="str">
        <v>MARION / WYTHEVILLE</v>
      </c>
      <c r="BW16" s="221" t="str">
        <v>PULLMAN/MOSCOW RGNL</v>
      </c>
      <c r="BX16" s="221" t="str">
        <v>PHILLIPS/PRICE CO.</v>
      </c>
      <c r="BZ16" s="221" t="str">
        <v>WORLAND MUNICIPAL</v>
      </c>
      <c r="CD16" s="215">
        <v>14</v>
      </c>
      <c r="CF16" s="215" t="s">
        <v>22</v>
      </c>
      <c r="CG16" s="215" t="s">
        <v>1145</v>
      </c>
    </row>
    <row r="17" spans="1:85" x14ac:dyDescent="0.35">
      <c r="A17" s="211" t="s">
        <v>77</v>
      </c>
      <c r="B17" s="211" t="s">
        <v>8</v>
      </c>
      <c r="C17" s="216" t="s">
        <v>90</v>
      </c>
      <c r="D17" s="222">
        <v>56.8</v>
      </c>
      <c r="E17" s="222">
        <v>22.6</v>
      </c>
      <c r="F17" s="211">
        <v>26</v>
      </c>
      <c r="H17" s="218" t="str">
        <f t="shared" si="2"/>
        <v>IL</v>
      </c>
      <c r="I17" s="218" t="str">
        <f>IFERROR(HLOOKUP('Air Source Heat Pump(s)'!D$7,'phius_monthly climate data'!$L$3:$CA$83,'phius_monthly climate data'!$CD17,FALSE),"")</f>
        <v>ROCKFORD GREATER ROCKFORD AP</v>
      </c>
      <c r="J17" s="221" t="s">
        <v>77</v>
      </c>
      <c r="K17" s="221" t="s">
        <v>18</v>
      </c>
      <c r="N17" s="221" t="str">
        <v>BIG RIVER LAKE</v>
      </c>
      <c r="O17" s="221" t="str">
        <v>TUSCALOOSA MUNICIPAL AP</v>
      </c>
      <c r="P17" s="221" t="str">
        <v>SPRINGDALE MUNI</v>
      </c>
      <c r="Q17" s="221" t="str">
        <v>SHOW LOW MUNI AP</v>
      </c>
      <c r="R17" s="221" t="str">
        <v>NORTH VANCOUVER</v>
      </c>
      <c r="T17" s="221" t="str">
        <v>CHULA VISTA BROWN FIELD NAAS</v>
      </c>
      <c r="U17" s="221" t="str">
        <v>GRAND JUNCTION WALKER FIELD</v>
      </c>
      <c r="Y17" s="221" t="str">
        <v>MARATHON AIRPORT</v>
      </c>
      <c r="Z17" s="221" t="str">
        <v>MARIETTA DOBBINS AFB</v>
      </c>
      <c r="AB17" s="221" t="str">
        <v>DENISON</v>
      </c>
      <c r="AD17" s="221" t="str">
        <v>ROCKFORD GREATER ROCKFORD AP</v>
      </c>
      <c r="AF17" s="221" t="str">
        <v>MCCONNELL AFB</v>
      </c>
      <c r="AH17" s="221" t="str">
        <v>SHREVEPORT DOWNTOWN</v>
      </c>
      <c r="AI17" s="221" t="str">
        <v>WESTFIELD BARNES MUNI AP</v>
      </c>
      <c r="AL17" s="221" t="str">
        <v>WISCASSET</v>
      </c>
      <c r="AM17" s="221" t="str">
        <v>HOUGHTON LAKE ROSCOMMON CO AR</v>
      </c>
      <c r="AN17" s="221" t="str">
        <v>DULUTH INTERNATIONAL ARPT</v>
      </c>
      <c r="AO17" s="221" t="str">
        <v>ST LOUIS SPIRIT OF ST LOUIS A</v>
      </c>
      <c r="AQ17" s="221" t="str">
        <v>MISSOULA INTERNATIONAL AP</v>
      </c>
      <c r="AS17" s="221" t="str">
        <v>NEW BERN CRAVEN CO REGL AP</v>
      </c>
      <c r="AU17" s="221" t="str">
        <v>KEARNEY MUNI (AWOS)</v>
      </c>
      <c r="AY17" s="221" t="str">
        <v>SIERRA BLANCA RGNL</v>
      </c>
      <c r="BD17" s="221" t="str">
        <v>NEW YORK LAGUARDIA ARPT</v>
      </c>
      <c r="BF17" s="221" t="str">
        <v>TULSA INTERNATIONAL AIRPORT</v>
      </c>
      <c r="BG17" s="221" t="str">
        <v>TORONTO AP</v>
      </c>
      <c r="BH17" s="221" t="str">
        <v>PORTLAND/HILLSBORO</v>
      </c>
      <c r="BI17" s="221" t="str">
        <v>PITTSBURGH ALLEGHENY CO AP</v>
      </c>
      <c r="BK17" s="221" t="str">
        <v>SHERBROOKE AP</v>
      </c>
      <c r="BR17" s="221" t="str">
        <v>DALHART MUNICIPAL AP</v>
      </c>
      <c r="BT17" s="221" t="str">
        <v>MARTINSVILLE</v>
      </c>
      <c r="BW17" s="221" t="str">
        <v>QUILLAYUTE STATE AIRPORT</v>
      </c>
      <c r="BX17" s="221" t="str">
        <v>RHINELANDER ONEIDA</v>
      </c>
      <c r="CD17" s="215">
        <v>15</v>
      </c>
      <c r="CF17" s="215" t="s">
        <v>23</v>
      </c>
      <c r="CG17" s="215" t="s">
        <v>1145</v>
      </c>
    </row>
    <row r="18" spans="1:85" x14ac:dyDescent="0.35">
      <c r="A18" s="211" t="s">
        <v>77</v>
      </c>
      <c r="B18" s="211" t="s">
        <v>8</v>
      </c>
      <c r="C18" s="216" t="s">
        <v>91</v>
      </c>
      <c r="D18" s="222">
        <v>73</v>
      </c>
      <c r="E18" s="222">
        <v>-36.5</v>
      </c>
      <c r="F18" s="211">
        <v>-48</v>
      </c>
      <c r="H18" s="218" t="str">
        <f t="shared" si="2"/>
        <v>IN</v>
      </c>
      <c r="I18" s="218" t="str">
        <f>IFERROR(HLOOKUP('Air Source Heat Pump(s)'!D$7,'phius_monthly climate data'!$L$3:$CA$83,'phius_monthly climate data'!$CD18,FALSE),"")</f>
        <v>SOUTHERN ILLINOIS</v>
      </c>
      <c r="J18" s="221" t="s">
        <v>77</v>
      </c>
      <c r="K18" s="221" t="s">
        <v>19</v>
      </c>
      <c r="N18" s="221" t="str">
        <v>BIRCHWOOD</v>
      </c>
      <c r="P18" s="221" t="str">
        <v>STUTTGART (AWOS)</v>
      </c>
      <c r="Q18" s="221" t="str">
        <v>TUCSON INTERNATIONAL AP</v>
      </c>
      <c r="R18" s="221" t="str">
        <v>PENTICTON AP</v>
      </c>
      <c r="T18" s="221" t="str">
        <v>CONCORD CONCORD-BUCHANAN FIEL</v>
      </c>
      <c r="U18" s="221" t="str">
        <v>GREELEY/WELD (AWOS)</v>
      </c>
      <c r="Y18" s="221" t="str">
        <v>MAYPORT NS</v>
      </c>
      <c r="Z18" s="221" t="str">
        <v>MOODY AFB/VALDOSTA</v>
      </c>
      <c r="AB18" s="221" t="str">
        <v>DES MOINES INTL AP</v>
      </c>
      <c r="AD18" s="221" t="str">
        <v>SOUTHERN ILLINOIS</v>
      </c>
      <c r="AF18" s="221" t="str">
        <v>NEWTON (AWOS)</v>
      </c>
      <c r="AH18" s="221" t="str">
        <v>SHREVEPORT REGIONAL ARPT</v>
      </c>
      <c r="AI18" s="221" t="str">
        <v>WORCESTER REGIONAL ARPT</v>
      </c>
      <c r="AM18" s="221" t="str">
        <v>HOWELL</v>
      </c>
      <c r="AN18" s="221" t="str">
        <v>ELY MUNI</v>
      </c>
      <c r="AO18" s="221" t="str">
        <v>VICHY ROLLA NATL ARPT</v>
      </c>
      <c r="AQ18" s="221" t="str">
        <v>SIDNEY-RICHLAND</v>
      </c>
      <c r="AS18" s="221" t="str">
        <v>NEW RIVER MCAF</v>
      </c>
      <c r="AU18" s="221" t="str">
        <v>LINCOLN MUNICIPAL ARPT</v>
      </c>
      <c r="AY18" s="221" t="str">
        <v>TAOS MUNI APT(AWOS)</v>
      </c>
      <c r="BD18" s="221" t="str">
        <v>NIAGARA FALLS AF</v>
      </c>
      <c r="BF18" s="221" t="str">
        <v>VANCE AFB</v>
      </c>
      <c r="BG18" s="221" t="str">
        <v>TORONTO ISLAND AP</v>
      </c>
      <c r="BH18" s="221" t="str">
        <v>PORTLAND/TROUTDALE</v>
      </c>
      <c r="BI18" s="221" t="str">
        <v>PITTSBURGH INTERNATIONAL AP</v>
      </c>
      <c r="BK18" s="221" t="str">
        <v>ST ANICET</v>
      </c>
      <c r="BR18" s="221" t="str">
        <v>DALLAS-ADDISON ARPT</v>
      </c>
      <c r="BT18" s="221" t="str">
        <v>MELFA/ACCOMACK ARPT</v>
      </c>
      <c r="BW18" s="221" t="str">
        <v>RENTON MUNI</v>
      </c>
      <c r="BX18" s="221" t="str">
        <v>RICE LAKE MUNICIPAL</v>
      </c>
      <c r="CD18" s="215">
        <v>16</v>
      </c>
      <c r="CF18" s="215" t="s">
        <v>24</v>
      </c>
      <c r="CG18" s="215" t="s">
        <v>1145</v>
      </c>
    </row>
    <row r="19" spans="1:85" x14ac:dyDescent="0.35">
      <c r="A19" s="211" t="s">
        <v>77</v>
      </c>
      <c r="B19" s="211" t="s">
        <v>8</v>
      </c>
      <c r="C19" s="216" t="s">
        <v>92</v>
      </c>
      <c r="D19" s="222">
        <v>66.2</v>
      </c>
      <c r="E19" s="222">
        <v>-33.4</v>
      </c>
      <c r="F19" s="211">
        <v>-28</v>
      </c>
      <c r="H19" s="218" t="str">
        <f t="shared" si="2"/>
        <v>KS</v>
      </c>
      <c r="I19" s="218" t="str">
        <f>IFERROR(HLOOKUP('Air Source Heat Pump(s)'!D$7,'phius_monthly climate data'!$L$3:$CA$83,'phius_monthly climate data'!$CD19,FALSE),"")</f>
        <v>SPRINGFIELD CAPITAL AP</v>
      </c>
      <c r="J19" s="221" t="s">
        <v>77</v>
      </c>
      <c r="K19" s="221" t="s">
        <v>20</v>
      </c>
      <c r="N19" s="221" t="str">
        <v>COLD BAY ARPT</v>
      </c>
      <c r="P19" s="221" t="str">
        <v>TEXARKANA WEBB FIELD</v>
      </c>
      <c r="Q19" s="221" t="str">
        <v>WINSLOW MUNICIPAL AP</v>
      </c>
      <c r="R19" s="221" t="str">
        <v>PITT MEADOWS</v>
      </c>
      <c r="T19" s="221" t="str">
        <v>CRESCENT CITY FAA AI</v>
      </c>
      <c r="U19" s="221" t="str">
        <v>GUNNISON CO. (AWOS)</v>
      </c>
      <c r="Y19" s="221" t="str">
        <v>MELBOURNE REGIONAL AP</v>
      </c>
      <c r="Z19" s="221" t="str">
        <v>ROME R B RUSSELL AP</v>
      </c>
      <c r="AB19" s="221" t="str">
        <v>DUBUQUE REGIONAL AP</v>
      </c>
      <c r="AD19" s="221" t="str">
        <v>SPRINGFIELD CAPITAL AP</v>
      </c>
      <c r="AF19" s="221" t="str">
        <v>OLATHE/JOHNSON CO. EXECUTIVE AP</v>
      </c>
      <c r="AM19" s="221" t="str">
        <v>IRON MOUNTAIN/FORD</v>
      </c>
      <c r="AN19" s="221" t="str">
        <v>EVELETH MUNI (AWOS)</v>
      </c>
      <c r="AO19" s="221" t="str">
        <v>WHITEMAN AFB</v>
      </c>
      <c r="AQ19" s="221" t="str">
        <v>WOLF POINT INTL [FORT PECK - SURFRAD]</v>
      </c>
      <c r="AS19" s="221" t="str">
        <v>PITT GREENVILLE ARP</v>
      </c>
      <c r="AU19" s="221" t="str">
        <v>MCCOOK MUNICIPAL</v>
      </c>
      <c r="AY19" s="221" t="str">
        <v>TRUTH OR CONSEQUENCES MUNI AP</v>
      </c>
      <c r="BD19" s="221" t="str">
        <v>POUGHKEEPSIE DUTCHESS CO AP</v>
      </c>
      <c r="BG19" s="221" t="str">
        <v>TORONTO</v>
      </c>
      <c r="BH19" s="221" t="str">
        <v>REDMOND ROBERTS FIELD</v>
      </c>
      <c r="BI19" s="221" t="str">
        <v>READING SPAATZ FIELD</v>
      </c>
      <c r="BK19" s="221" t="str">
        <v>STE ANNE DE BELLEVUE</v>
      </c>
      <c r="BR19" s="221" t="str">
        <v>DALLAS-FORT WORTH INTL AP</v>
      </c>
      <c r="BT19" s="221" t="str">
        <v>NEWPORT NEWS</v>
      </c>
      <c r="BW19" s="221" t="str">
        <v>SEATTLE BOEING FIELD [ISIS]</v>
      </c>
      <c r="BX19" s="221" t="str">
        <v>STURGEON BAY</v>
      </c>
      <c r="CD19" s="215">
        <v>17</v>
      </c>
      <c r="CF19" s="215" t="s">
        <v>25</v>
      </c>
      <c r="CG19" s="215" t="s">
        <v>1145</v>
      </c>
    </row>
    <row r="20" spans="1:85" x14ac:dyDescent="0.35">
      <c r="A20" s="211" t="s">
        <v>77</v>
      </c>
      <c r="B20" s="211" t="s">
        <v>8</v>
      </c>
      <c r="C20" s="216" t="s">
        <v>93</v>
      </c>
      <c r="D20" s="222">
        <v>68.400000000000006</v>
      </c>
      <c r="E20" s="222">
        <v>-4.5</v>
      </c>
      <c r="F20" s="211">
        <v>-3</v>
      </c>
      <c r="H20" s="218" t="str">
        <f t="shared" si="2"/>
        <v>KY</v>
      </c>
      <c r="I20" s="218" t="str">
        <f>IFERROR(HLOOKUP('Air Source Heat Pump(s)'!D$7,'phius_monthly climate data'!$L$3:$CA$83,'phius_monthly climate data'!$CD20,FALSE),"")</f>
        <v>STERLING ROCKFALLS</v>
      </c>
      <c r="J20" s="221" t="s">
        <v>77</v>
      </c>
      <c r="K20" s="221" t="s">
        <v>21</v>
      </c>
      <c r="N20" s="221" t="str">
        <v>CORDOVA</v>
      </c>
      <c r="P20" s="221" t="str">
        <v>WALNUT RIDGE (AWOS)</v>
      </c>
      <c r="Q20" s="221" t="str">
        <v>YUMA INTL ARPT</v>
      </c>
      <c r="R20" s="221" t="str">
        <v>PRINCE GEORGE</v>
      </c>
      <c r="T20" s="221" t="str">
        <v>DAGGETT BARSTOW-DAGGETT AP</v>
      </c>
      <c r="U20" s="221" t="str">
        <v>HAYDEN/YAMPA (AWOS)</v>
      </c>
      <c r="Y20" s="221" t="str">
        <v>MIAMI INTL AP</v>
      </c>
      <c r="Z20" s="221" t="str">
        <v>SAVANNAH INTL AP</v>
      </c>
      <c r="AB20" s="221" t="str">
        <v>ESTHERVILLE MUNI</v>
      </c>
      <c r="AD20" s="221" t="str">
        <v>STERLING ROCKFALLS</v>
      </c>
      <c r="AF20" s="221" t="str">
        <v>OLATHE/JOHNSON CO. INDUSTRIAL AP</v>
      </c>
      <c r="AM20" s="221" t="str">
        <v>IRONWOOD (AWOS)</v>
      </c>
      <c r="AN20" s="221" t="str">
        <v>FAIRMONT MUNI(AWOS)</v>
      </c>
      <c r="AS20" s="221" t="str">
        <v>RALEIGH DURHAM INTERNATIONAL</v>
      </c>
      <c r="AU20" s="221" t="str">
        <v>NORFOLK KARL STEFAN MEM ARPT</v>
      </c>
      <c r="AY20" s="221" t="str">
        <v>TUCUMCARI AP</v>
      </c>
      <c r="BD20" s="221" t="str">
        <v>REPUBLIC</v>
      </c>
      <c r="BG20" s="221" t="str">
        <v>TRENTON AP</v>
      </c>
      <c r="BH20" s="221" t="str">
        <v>ROSEBURG REGIONAL AP</v>
      </c>
      <c r="BI20" s="221" t="str">
        <v>STATE COLLEGE [PENN STATE - SURFRAD]</v>
      </c>
      <c r="BK20" s="221" t="str">
        <v>STE FOY</v>
      </c>
      <c r="BR20" s="221" t="str">
        <v>DALLAS-LOVE FIELD</v>
      </c>
      <c r="BT20" s="221" t="str">
        <v>NORFOLK INTERNATIONAL AP</v>
      </c>
      <c r="BW20" s="221" t="str">
        <v>SEATTLE SEATTLE-TACOMA INTL A</v>
      </c>
      <c r="BX20" s="221" t="str">
        <v>WATERTOWN</v>
      </c>
      <c r="CD20" s="215">
        <v>18</v>
      </c>
      <c r="CF20" s="215" t="s">
        <v>26</v>
      </c>
      <c r="CG20" s="215" t="s">
        <v>1145</v>
      </c>
    </row>
    <row r="21" spans="1:85" x14ac:dyDescent="0.35">
      <c r="A21" s="211" t="s">
        <v>77</v>
      </c>
      <c r="B21" s="211" t="s">
        <v>8</v>
      </c>
      <c r="C21" s="216" t="s">
        <v>94</v>
      </c>
      <c r="D21" s="222">
        <v>70.599999999999994</v>
      </c>
      <c r="E21" s="222">
        <v>-7</v>
      </c>
      <c r="F21" s="211">
        <v>7</v>
      </c>
      <c r="H21" s="218" t="str">
        <f t="shared" si="2"/>
        <v>LA</v>
      </c>
      <c r="I21" s="218" t="str">
        <f>IFERROR(HLOOKUP('Air Source Heat Pump(s)'!D$7,'phius_monthly climate data'!$L$3:$CA$83,'phius_monthly climate data'!$CD21,FALSE),"")</f>
        <v>UNIV OF ILLINOIS WI [BONDVILLE - SURFRAD]</v>
      </c>
      <c r="J21" s="221" t="s">
        <v>77</v>
      </c>
      <c r="K21" s="221" t="s">
        <v>22</v>
      </c>
      <c r="N21" s="221" t="str">
        <v>DEADHORSE</v>
      </c>
      <c r="Q21" s="221" t="str">
        <v>YUMA MCAS</v>
      </c>
      <c r="R21" s="221" t="str">
        <v>SMITHERS AP</v>
      </c>
      <c r="T21" s="221" t="str">
        <v>EDWARDS AFB</v>
      </c>
      <c r="U21" s="221" t="str">
        <v>LA JUNTA MUNICIPAL AP</v>
      </c>
      <c r="Y21" s="221" t="str">
        <v>MIAMI/KENDALL-TAMIA</v>
      </c>
      <c r="Z21" s="221" t="str">
        <v>VALDOSTA WB AIRPORT</v>
      </c>
      <c r="AB21" s="221" t="str">
        <v>FAIR FIELD</v>
      </c>
      <c r="AD21" s="221" t="str">
        <v>UNIV OF ILLINOIS WI [BONDVILLE - SURFRAD]</v>
      </c>
      <c r="AF21" s="221" t="str">
        <v>RUSSELL MUNICIPAL AP</v>
      </c>
      <c r="AM21" s="221" t="str">
        <v>JACKSON REYNOLDS FIELD</v>
      </c>
      <c r="AN21" s="221" t="str">
        <v>FARIBAULT MUNI AWOS</v>
      </c>
      <c r="AS21" s="221" t="str">
        <v>ROCKY MOUNT WILSON</v>
      </c>
      <c r="AU21" s="221" t="str">
        <v>NORTH PLATTE REGIONAL AP</v>
      </c>
      <c r="BD21" s="221" t="str">
        <v>ROCHESTER GREATER ROCHESTER I</v>
      </c>
      <c r="BG21" s="221" t="str">
        <v>WINDSOR</v>
      </c>
      <c r="BH21" s="221" t="str">
        <v>SALEM MCNARY FIELD</v>
      </c>
      <c r="BI21" s="221" t="str">
        <v>WASHINGTON (AWOS)</v>
      </c>
      <c r="BK21" s="221" t="str">
        <v>TROIS RIVIERES</v>
      </c>
      <c r="BR21" s="221" t="str">
        <v>DALLAS-REDBIRD ARPT</v>
      </c>
      <c r="BT21" s="221" t="str">
        <v>NORFOLK NAS</v>
      </c>
      <c r="BW21" s="221" t="str">
        <v>SNOHOMISH CO</v>
      </c>
      <c r="BX21" s="221" t="str">
        <v>WAUSAU MUNICIPAL ARPT</v>
      </c>
      <c r="CD21" s="215">
        <v>19</v>
      </c>
      <c r="CF21" s="215" t="s">
        <v>27</v>
      </c>
      <c r="CG21" s="215" t="s">
        <v>1145</v>
      </c>
    </row>
    <row r="22" spans="1:85" x14ac:dyDescent="0.35">
      <c r="A22" s="211" t="s">
        <v>77</v>
      </c>
      <c r="B22" s="211" t="s">
        <v>8</v>
      </c>
      <c r="C22" s="216" t="s">
        <v>95</v>
      </c>
      <c r="D22" s="222">
        <v>71.599999999999994</v>
      </c>
      <c r="E22" s="222">
        <v>-10.6</v>
      </c>
      <c r="F22" s="211">
        <v>4</v>
      </c>
      <c r="H22" s="218" t="str">
        <f t="shared" si="2"/>
        <v>MA</v>
      </c>
      <c r="I22" s="218" t="str">
        <f>IFERROR(HLOOKUP('Air Source Heat Pump(s)'!D$7,'phius_monthly climate data'!$L$3:$CA$83,'phius_monthly climate data'!$CD22,FALSE),"")</f>
        <v>W. CHICAGO/DU PAGE</v>
      </c>
      <c r="J22" s="221" t="s">
        <v>77</v>
      </c>
      <c r="K22" s="221" t="s">
        <v>23</v>
      </c>
      <c r="N22" s="221" t="str">
        <v>DILLINGHAM (AMOS)</v>
      </c>
      <c r="R22" s="221" t="str">
        <v>SUMMERLAND</v>
      </c>
      <c r="T22" s="221" t="str">
        <v>FRESNO YOSEMITE INTL AP</v>
      </c>
      <c r="U22" s="221" t="str">
        <v>LAMAR MUNICIPAL</v>
      </c>
      <c r="Y22" s="221" t="str">
        <v>MIAMI/OPA LOCKA</v>
      </c>
      <c r="Z22" s="221" t="str">
        <v>WARNER ROBINS AFB</v>
      </c>
      <c r="AB22" s="221" t="str">
        <v>FORT DODGE (AWOS)</v>
      </c>
      <c r="AD22" s="221" t="str">
        <v>W. CHICAGO/DU PAGE</v>
      </c>
      <c r="AF22" s="221" t="str">
        <v>SALINA MUNICIPAL AP</v>
      </c>
      <c r="AM22" s="221" t="str">
        <v>KALAMAZOO BATTLE CR</v>
      </c>
      <c r="AN22" s="221" t="str">
        <v>FERGUS FALLS AWOS</v>
      </c>
      <c r="AS22" s="221" t="str">
        <v>SOUTHERN PINES AWOS</v>
      </c>
      <c r="AU22" s="221" t="str">
        <v>OMAHA EPPLEY AIRFIELD</v>
      </c>
      <c r="BD22" s="221" t="str">
        <v>STEWART FIELD</v>
      </c>
      <c r="BH22" s="221" t="str">
        <v>SEXTON SUMMIT</v>
      </c>
      <c r="BI22" s="221" t="str">
        <v>WILKES-BARRE SCRANTON INTL AP</v>
      </c>
      <c r="BK22" s="221" t="str">
        <v>VARENNES</v>
      </c>
      <c r="BR22" s="221" t="str">
        <v>DEL RIO [UT]</v>
      </c>
      <c r="BT22" s="221" t="str">
        <v>OCEANA NAS</v>
      </c>
      <c r="BW22" s="221" t="str">
        <v>SPOKANE INTERNATIONAL AP [CHENEY - UO]</v>
      </c>
      <c r="BX22" s="221" t="str">
        <v>WITTMAN RGNL</v>
      </c>
      <c r="CD22" s="215">
        <v>20</v>
      </c>
      <c r="CF22" s="215" t="s">
        <v>28</v>
      </c>
      <c r="CG22" s="215" t="s">
        <v>1145</v>
      </c>
    </row>
    <row r="23" spans="1:85" x14ac:dyDescent="0.35">
      <c r="A23" s="211" t="s">
        <v>77</v>
      </c>
      <c r="B23" s="211" t="s">
        <v>8</v>
      </c>
      <c r="C23" s="216" t="s">
        <v>96</v>
      </c>
      <c r="D23" s="222">
        <v>70.3</v>
      </c>
      <c r="E23" s="222">
        <v>-30.2</v>
      </c>
      <c r="F23" s="211">
        <v>-17</v>
      </c>
      <c r="H23" s="218" t="str">
        <f t="shared" si="2"/>
        <v>MD</v>
      </c>
      <c r="I23" s="218">
        <f>IFERROR(HLOOKUP('Air Source Heat Pump(s)'!D$7,'phius_monthly climate data'!$L$3:$CA$83,'phius_monthly climate data'!$CD23,FALSE),"")</f>
        <v>0</v>
      </c>
      <c r="J23" s="221" t="s">
        <v>77</v>
      </c>
      <c r="K23" s="221" t="s">
        <v>24</v>
      </c>
      <c r="N23" s="221" t="str">
        <v>DUTCH HARBOR</v>
      </c>
      <c r="R23" s="221" t="str">
        <v>VANCOUVER</v>
      </c>
      <c r="T23" s="221" t="str">
        <v>FULLERTON MUNICIPAL</v>
      </c>
      <c r="U23" s="221" t="str">
        <v>LEADVILLE/LAKE CO.</v>
      </c>
      <c r="Y23" s="221" t="str">
        <v>NAPLES MUNICIPAL</v>
      </c>
      <c r="AB23" s="221" t="str">
        <v>FORT MADISON</v>
      </c>
      <c r="AF23" s="221" t="str">
        <v>TOPEKA FORBES FIELD</v>
      </c>
      <c r="AM23" s="221" t="str">
        <v>LANSING CAPITAL CITY ARPT</v>
      </c>
      <c r="AN23" s="221" t="str">
        <v>FLYING CLOUD</v>
      </c>
      <c r="AS23" s="221" t="str">
        <v>WILMINGTON INTERNATIONAL ARPT</v>
      </c>
      <c r="AU23" s="221" t="str">
        <v>OMAHA WSFO</v>
      </c>
      <c r="BD23" s="221" t="str">
        <v>SYRACUSE HANCOCK INT ARPT</v>
      </c>
      <c r="BI23" s="221" t="str">
        <v>WILLIAMSPORT REGIONAL AP</v>
      </c>
      <c r="BR23" s="221" t="str">
        <v>DEL RIO LAUGHLIN AFB</v>
      </c>
      <c r="BT23" s="221" t="str">
        <v>PULASKI-NEW RIVER</v>
      </c>
      <c r="BW23" s="221" t="str">
        <v>STAMPEDE PASS</v>
      </c>
      <c r="CD23" s="215">
        <v>21</v>
      </c>
      <c r="CF23" s="215" t="s">
        <v>30</v>
      </c>
      <c r="CG23" s="215" t="s">
        <v>1145</v>
      </c>
    </row>
    <row r="24" spans="1:85" x14ac:dyDescent="0.35">
      <c r="A24" s="211" t="s">
        <v>77</v>
      </c>
      <c r="B24" s="211" t="s">
        <v>8</v>
      </c>
      <c r="C24" s="216" t="s">
        <v>97</v>
      </c>
      <c r="D24" s="222">
        <v>70</v>
      </c>
      <c r="E24" s="222">
        <v>21.6</v>
      </c>
      <c r="F24" s="211">
        <v>25</v>
      </c>
      <c r="H24" s="218" t="str">
        <f t="shared" si="2"/>
        <v>ME</v>
      </c>
      <c r="I24" s="218">
        <f>IFERROR(HLOOKUP('Air Source Heat Pump(s)'!D$7,'phius_monthly climate data'!$L$3:$CA$83,'phius_monthly climate data'!$CD24,FALSE),"")</f>
        <v>0</v>
      </c>
      <c r="J24" s="221" t="s">
        <v>83</v>
      </c>
      <c r="K24" s="221" t="s">
        <v>24</v>
      </c>
      <c r="N24" s="221" t="str">
        <v>EMMONAK</v>
      </c>
      <c r="R24" s="221" t="str">
        <v>VERNON</v>
      </c>
      <c r="T24" s="221" t="str">
        <v>HAYWARD AIR TERM</v>
      </c>
      <c r="U24" s="221" t="str">
        <v>LIMON</v>
      </c>
      <c r="Y24" s="221" t="str">
        <v>NASA SHUTTLE FCLTY</v>
      </c>
      <c r="AB24" s="221" t="str">
        <v>KEOKUK MUNI</v>
      </c>
      <c r="AF24" s="221" t="str">
        <v>TOPEKA MUNICIPAL AP</v>
      </c>
      <c r="AM24" s="221" t="str">
        <v>MANISTEE (AWOS)</v>
      </c>
      <c r="AN24" s="221" t="str">
        <v>FOSSTON(AWOS)</v>
      </c>
      <c r="AS24" s="221" t="str">
        <v>WINSTON-SALEM REYNOLDS AP</v>
      </c>
      <c r="AU24" s="221" t="str">
        <v>ONEILL-BAKER FIELD</v>
      </c>
      <c r="BD24" s="221" t="str">
        <v>UTICA ONEIDA COUNTY AP</v>
      </c>
      <c r="BI24" s="221" t="str">
        <v>WILLOW GROVE NAS</v>
      </c>
      <c r="BR24" s="221" t="str">
        <v>DRAUGHON MILLER CEN</v>
      </c>
      <c r="BT24" s="221" t="str">
        <v>QUANTICO MCAS</v>
      </c>
      <c r="BW24" s="221" t="str">
        <v>TACOMA MCCHORD AFB</v>
      </c>
      <c r="CD24" s="215">
        <v>22</v>
      </c>
      <c r="CF24" s="215" t="s">
        <v>31</v>
      </c>
      <c r="CG24" s="215" t="s">
        <v>1145</v>
      </c>
    </row>
    <row r="25" spans="1:85" x14ac:dyDescent="0.35">
      <c r="A25" s="211" t="s">
        <v>77</v>
      </c>
      <c r="B25" s="211" t="s">
        <v>8</v>
      </c>
      <c r="C25" s="216" t="s">
        <v>98</v>
      </c>
      <c r="D25" s="222">
        <v>70.400000000000006</v>
      </c>
      <c r="E25" s="222">
        <v>-20.2</v>
      </c>
      <c r="F25" s="211">
        <v>-9</v>
      </c>
      <c r="H25" s="218" t="str">
        <f t="shared" si="2"/>
        <v>MI</v>
      </c>
      <c r="I25" s="218">
        <f>IFERROR(HLOOKUP('Air Source Heat Pump(s)'!D$7,'phius_monthly climate data'!$L$3:$CA$83,'phius_monthly climate data'!$CD25,FALSE),"")</f>
        <v>0</v>
      </c>
      <c r="J25" s="221" t="s">
        <v>77</v>
      </c>
      <c r="K25" s="221" t="s">
        <v>25</v>
      </c>
      <c r="N25" s="221" t="str">
        <v>FAIRBANKS INTL ARPT</v>
      </c>
      <c r="R25" s="221" t="str">
        <v>VICTORIA AP</v>
      </c>
      <c r="T25" s="221" t="str">
        <v>IMPERIAL</v>
      </c>
      <c r="U25" s="221" t="str">
        <v>MONTROSE CO. ARPT</v>
      </c>
      <c r="Y25" s="221" t="str">
        <v>OCALA MUNI (AWOS)</v>
      </c>
      <c r="AB25" s="221" t="str">
        <v>KNOXVILLE</v>
      </c>
      <c r="AF25" s="221" t="str">
        <v>WICHITA MID-CONTINENT AP</v>
      </c>
      <c r="AM25" s="221" t="str">
        <v>MENOMINEE (AWOS)</v>
      </c>
      <c r="AN25" s="221" t="str">
        <v>GLENWOOD (ASOS)</v>
      </c>
      <c r="AU25" s="221" t="str">
        <v>ORD-SHARP FIELD</v>
      </c>
      <c r="BD25" s="221" t="str">
        <v>WATERTOWN AP</v>
      </c>
      <c r="BR25" s="221" t="str">
        <v>EL PASO INTERNATIONAL AP [UT]</v>
      </c>
      <c r="BT25" s="221" t="str">
        <v>RICHMOND INTERNATIONAL AP</v>
      </c>
      <c r="BW25" s="221" t="str">
        <v>TACOMA NARROWS</v>
      </c>
      <c r="CD25" s="215">
        <v>23</v>
      </c>
      <c r="CF25" s="215" t="s">
        <v>32</v>
      </c>
      <c r="CG25" s="215" t="s">
        <v>1145</v>
      </c>
    </row>
    <row r="26" spans="1:85" x14ac:dyDescent="0.35">
      <c r="A26" s="211" t="s">
        <v>77</v>
      </c>
      <c r="B26" s="211" t="s">
        <v>8</v>
      </c>
      <c r="C26" s="216" t="s">
        <v>99</v>
      </c>
      <c r="D26" s="222">
        <v>53.8</v>
      </c>
      <c r="E26" s="222">
        <v>-34.299999999999997</v>
      </c>
      <c r="F26" s="211">
        <v>-30</v>
      </c>
      <c r="H26" s="218" t="str">
        <f t="shared" si="2"/>
        <v>MN</v>
      </c>
      <c r="I26" s="218">
        <f>IFERROR(HLOOKUP('Air Source Heat Pump(s)'!D$7,'phius_monthly climate data'!$L$3:$CA$83,'phius_monthly climate data'!$CD26,FALSE),"")</f>
        <v>0</v>
      </c>
      <c r="J26" s="221" t="s">
        <v>77</v>
      </c>
      <c r="K26" s="221" t="s">
        <v>26</v>
      </c>
      <c r="N26" s="221" t="str">
        <v>FAIRBANKS/EIELSON A</v>
      </c>
      <c r="R26" s="221" t="str">
        <v>VICTORIA</v>
      </c>
      <c r="T26" s="221" t="str">
        <v>JACK NORTHROP FLD H</v>
      </c>
      <c r="U26" s="221" t="str">
        <v>PUEBLO MEMORIAL AP</v>
      </c>
      <c r="Y26" s="221" t="str">
        <v>ORLANDO EXECUTIVE AP</v>
      </c>
      <c r="AB26" s="221" t="str">
        <v>LE MARS</v>
      </c>
      <c r="AF26" s="221" t="str">
        <v>WICHITA/COL. JABARA</v>
      </c>
      <c r="AM26" s="221" t="str">
        <v>MOUNT CLEMENS SELFRIDGE FLD</v>
      </c>
      <c r="AN26" s="221" t="str">
        <v>GRAND RAPIDS(AWOS)</v>
      </c>
      <c r="AU26" s="221" t="str">
        <v>SCOTTSBLUFF W B HEILIG FIELD</v>
      </c>
      <c r="BD26" s="221" t="str">
        <v>WESTHAMPTON GABRESKI AP</v>
      </c>
      <c r="BR26" s="221" t="str">
        <v>FORT HOOD</v>
      </c>
      <c r="BT26" s="221" t="str">
        <v>ROANOKE REGIONAL AP</v>
      </c>
      <c r="BW26" s="221" t="str">
        <v>THE DALLES MUNICIPAL ARPT</v>
      </c>
      <c r="CD26" s="215">
        <v>24</v>
      </c>
      <c r="CF26" s="215" t="s">
        <v>33</v>
      </c>
      <c r="CG26" s="215" t="s">
        <v>1145</v>
      </c>
    </row>
    <row r="27" spans="1:85" x14ac:dyDescent="0.35">
      <c r="A27" s="211" t="s">
        <v>77</v>
      </c>
      <c r="B27" s="211" t="s">
        <v>8</v>
      </c>
      <c r="C27" s="216" t="s">
        <v>100</v>
      </c>
      <c r="D27" s="222">
        <v>68.7</v>
      </c>
      <c r="E27" s="222">
        <v>-22.6</v>
      </c>
      <c r="F27" s="211">
        <v>-13</v>
      </c>
      <c r="H27" s="218" t="str">
        <f t="shared" si="2"/>
        <v>MO</v>
      </c>
      <c r="I27" s="218">
        <f>IFERROR(HLOOKUP('Air Source Heat Pump(s)'!D$7,'phius_monthly climate data'!$L$3:$CA$83,'phius_monthly climate data'!$CD27,FALSE),"")</f>
        <v>0</v>
      </c>
      <c r="J27" s="221" t="s">
        <v>77</v>
      </c>
      <c r="K27" s="221" t="s">
        <v>27</v>
      </c>
      <c r="N27" s="221" t="str">
        <v>FORT YUKON</v>
      </c>
      <c r="R27" s="221" t="str">
        <v>VICTORIA UNIV</v>
      </c>
      <c r="T27" s="221" t="str">
        <v>LANCASTER GEN WM FOX FIELD</v>
      </c>
      <c r="U27" s="221" t="str">
        <v>RIFLE/GARFIELD RGNL</v>
      </c>
      <c r="Y27" s="221" t="str">
        <v>ORLANDO INTL ARPT</v>
      </c>
      <c r="AB27" s="221" t="str">
        <v>MASON CITY MUNICIPAL ARPT</v>
      </c>
      <c r="AM27" s="221" t="str">
        <v>MUSKEGON COUNTY ARPT</v>
      </c>
      <c r="AN27" s="221" t="str">
        <v>HALLOCK</v>
      </c>
      <c r="AU27" s="221" t="str">
        <v>SIDNEY MUNICIPAL AP</v>
      </c>
      <c r="BD27" s="221" t="str">
        <v>WHITE PLAINS WESTCHESTER CO A</v>
      </c>
      <c r="BR27" s="221" t="str">
        <v>FORT WORTH ALLIANCE</v>
      </c>
      <c r="BT27" s="221" t="str">
        <v>SHANNON ARPT</v>
      </c>
      <c r="BW27" s="221" t="str">
        <v>WALLA WALLA CITY COUNTY AP</v>
      </c>
      <c r="CD27" s="215">
        <v>25</v>
      </c>
      <c r="CF27" s="215" t="s">
        <v>34</v>
      </c>
      <c r="CG27" s="215" t="s">
        <v>1145</v>
      </c>
    </row>
    <row r="28" spans="1:85" x14ac:dyDescent="0.35">
      <c r="A28" s="211" t="s">
        <v>77</v>
      </c>
      <c r="B28" s="211" t="s">
        <v>8</v>
      </c>
      <c r="C28" s="216" t="s">
        <v>101</v>
      </c>
      <c r="D28" s="222">
        <v>75.599999999999994</v>
      </c>
      <c r="E28" s="222">
        <v>-44.9</v>
      </c>
      <c r="F28" s="211">
        <v>-34</v>
      </c>
      <c r="H28" s="218" t="str">
        <f t="shared" si="2"/>
        <v>MS</v>
      </c>
      <c r="I28" s="218">
        <f>IFERROR(HLOOKUP('Air Source Heat Pump(s)'!D$7,'phius_monthly climate data'!$L$3:$CA$83,'phius_monthly climate data'!$CD28,FALSE),"")</f>
        <v>0</v>
      </c>
      <c r="J28" s="221" t="s">
        <v>77</v>
      </c>
      <c r="K28" s="221" t="s">
        <v>28</v>
      </c>
      <c r="N28" s="221" t="str">
        <v>GAMBELL</v>
      </c>
      <c r="R28" s="221" t="str">
        <v>W VANCOUVER</v>
      </c>
      <c r="T28" s="221" t="str">
        <v>LEMOORE REEVES NAS</v>
      </c>
      <c r="U28" s="221" t="str">
        <v>TRINIDAD LAS ANIMAS COUNTY AP</v>
      </c>
      <c r="Y28" s="221" t="str">
        <v>ORLANDO SANFORD AIRPORT</v>
      </c>
      <c r="AB28" s="221" t="str">
        <v>MONTICELLO MUNI</v>
      </c>
      <c r="AM28" s="221" t="str">
        <v>OAKLAND CO INTL</v>
      </c>
      <c r="AN28" s="221" t="str">
        <v>HIBBING CHISHOLM-HIBBING AP</v>
      </c>
      <c r="AU28" s="221" t="str">
        <v>TEKAMAH (ASOS)</v>
      </c>
      <c r="BR28" s="221" t="str">
        <v>FORT WORTH MEACHAM</v>
      </c>
      <c r="BT28" s="221" t="str">
        <v>STAUNTON/SHENANDOAH</v>
      </c>
      <c r="BW28" s="221" t="str">
        <v>WENATCHEE/PANGBORN</v>
      </c>
      <c r="CD28" s="215">
        <v>26</v>
      </c>
      <c r="CF28" s="215" t="s">
        <v>35</v>
      </c>
      <c r="CG28" s="215" t="s">
        <v>1145</v>
      </c>
    </row>
    <row r="29" spans="1:85" x14ac:dyDescent="0.35">
      <c r="A29" s="211" t="s">
        <v>77</v>
      </c>
      <c r="B29" s="211" t="s">
        <v>8</v>
      </c>
      <c r="C29" s="216" t="s">
        <v>102</v>
      </c>
      <c r="D29" s="222">
        <v>75.099999999999994</v>
      </c>
      <c r="E29" s="222">
        <v>-32</v>
      </c>
      <c r="F29" s="211">
        <v>-16</v>
      </c>
      <c r="H29" s="218" t="str">
        <f t="shared" si="2"/>
        <v>MT</v>
      </c>
      <c r="I29" s="218">
        <f>IFERROR(HLOOKUP('Air Source Heat Pump(s)'!D$7,'phius_monthly climate data'!$L$3:$CA$83,'phius_monthly climate data'!$CD29,FALSE),"")</f>
        <v>0</v>
      </c>
      <c r="J29" s="221" t="s">
        <v>77</v>
      </c>
      <c r="K29" s="221" t="s">
        <v>29</v>
      </c>
      <c r="N29" s="221" t="str">
        <v>GULKANA INTERMEDIATE FIELD</v>
      </c>
      <c r="R29" s="221" t="str">
        <v>WHISTLER</v>
      </c>
      <c r="T29" s="221" t="str">
        <v>LIVERMORE MUNICIPAL</v>
      </c>
      <c r="Y29" s="221" t="str">
        <v>PANAMA CITY BAY CO</v>
      </c>
      <c r="AB29" s="221" t="str">
        <v>MUSCATINE</v>
      </c>
      <c r="AM29" s="221" t="str">
        <v>OSCODA WURTSMITH AFB</v>
      </c>
      <c r="AN29" s="221" t="str">
        <v>HUTCHINSON (AWOS)</v>
      </c>
      <c r="AU29" s="221" t="str">
        <v>VALENTINE MILLER FIELD</v>
      </c>
      <c r="BR29" s="221" t="str">
        <v>FORT WORTH NAS</v>
      </c>
      <c r="BT29" s="221" t="str">
        <v>VIRGINIA TECH ARPT</v>
      </c>
      <c r="BW29" s="221" t="str">
        <v>WHIDBEY ISLAND NAS</v>
      </c>
      <c r="CD29" s="215">
        <v>27</v>
      </c>
      <c r="CF29" s="215" t="s">
        <v>36</v>
      </c>
      <c r="CG29" s="215" t="s">
        <v>1145</v>
      </c>
    </row>
    <row r="30" spans="1:85" x14ac:dyDescent="0.35">
      <c r="A30" s="211" t="s">
        <v>77</v>
      </c>
      <c r="B30" s="211" t="s">
        <v>8</v>
      </c>
      <c r="C30" s="216" t="s">
        <v>103</v>
      </c>
      <c r="D30" s="222">
        <v>60.9</v>
      </c>
      <c r="E30" s="222">
        <v>4.7</v>
      </c>
      <c r="F30" s="211">
        <v>-1</v>
      </c>
      <c r="H30" s="218" t="str">
        <f t="shared" si="2"/>
        <v>NC</v>
      </c>
      <c r="I30" s="218">
        <f>IFERROR(HLOOKUP('Air Source Heat Pump(s)'!D$7,'phius_monthly climate data'!$L$3:$CA$83,'phius_monthly climate data'!$CD30,FALSE),"")</f>
        <v>0</v>
      </c>
      <c r="J30" s="221" t="s">
        <v>77</v>
      </c>
      <c r="K30" s="221" t="s">
        <v>30</v>
      </c>
      <c r="N30" s="221" t="str">
        <v>GUSTAVUS</v>
      </c>
      <c r="R30" s="221" t="str">
        <v>WHITE ROCK</v>
      </c>
      <c r="T30" s="221" t="str">
        <v>LOMPOC (AWOS)</v>
      </c>
      <c r="Y30" s="221" t="str">
        <v>PENSACOLA FOREST SHERMAN NAS</v>
      </c>
      <c r="AB30" s="221" t="str">
        <v>NEWTON MUNI</v>
      </c>
      <c r="AM30" s="221" t="str">
        <v>PELLSTON EMMET COUNTY AP</v>
      </c>
      <c r="AN30" s="221" t="str">
        <v>INTERNATIONAL FALLS INTL AP</v>
      </c>
      <c r="BR30" s="221" t="str">
        <v>GALVESTON/SCHOLES</v>
      </c>
      <c r="BT30" s="221" t="str">
        <v>WASHINGTON DC DULLES INT AR [STERLING - ISIS]</v>
      </c>
      <c r="BW30" s="221" t="str">
        <v>WILLIAM R FAIRCHILD</v>
      </c>
      <c r="CD30" s="215">
        <v>28</v>
      </c>
      <c r="CF30" s="215" t="s">
        <v>38</v>
      </c>
      <c r="CG30" s="215" t="s">
        <v>1145</v>
      </c>
    </row>
    <row r="31" spans="1:85" x14ac:dyDescent="0.35">
      <c r="A31" s="211" t="s">
        <v>77</v>
      </c>
      <c r="B31" s="211" t="s">
        <v>8</v>
      </c>
      <c r="C31" s="216" t="s">
        <v>104</v>
      </c>
      <c r="D31" s="222">
        <v>70</v>
      </c>
      <c r="E31" s="222">
        <v>-8.5</v>
      </c>
      <c r="F31" s="211">
        <v>-1</v>
      </c>
      <c r="H31" s="218" t="str">
        <f t="shared" si="2"/>
        <v>ND</v>
      </c>
      <c r="I31" s="218">
        <f>IFERROR(HLOOKUP('Air Source Heat Pump(s)'!D$7,'phius_monthly climate data'!$L$3:$CA$83,'phius_monthly climate data'!$CD31,FALSE),"")</f>
        <v>0</v>
      </c>
      <c r="J31" s="221" t="s">
        <v>77</v>
      </c>
      <c r="K31" s="221" t="s">
        <v>31</v>
      </c>
      <c r="N31" s="221" t="str">
        <v>HOMER ARPT</v>
      </c>
      <c r="T31" s="221" t="str">
        <v>LONG BEACH DAUGHERTY FLD</v>
      </c>
      <c r="Y31" s="221" t="str">
        <v>PENSACOLA REGIONAL AP</v>
      </c>
      <c r="AB31" s="221" t="str">
        <v>OELWEN</v>
      </c>
      <c r="AM31" s="221" t="str">
        <v>SAGINAW TRI CITY INTL AP</v>
      </c>
      <c r="AN31" s="221" t="str">
        <v>LITCHFIELD MUNI</v>
      </c>
      <c r="BR31" s="221" t="str">
        <v>GEORGETOWN (AWOS)</v>
      </c>
      <c r="BT31" s="221" t="str">
        <v>WASHINGTON DC REAGAN AP</v>
      </c>
      <c r="BW31" s="221" t="str">
        <v>YAKIMA AIR TERMINAL</v>
      </c>
      <c r="CD31" s="215">
        <v>29</v>
      </c>
      <c r="CF31" s="215" t="s">
        <v>39</v>
      </c>
      <c r="CG31" s="215" t="s">
        <v>1145</v>
      </c>
    </row>
    <row r="32" spans="1:85" x14ac:dyDescent="0.35">
      <c r="A32" s="211" t="s">
        <v>77</v>
      </c>
      <c r="B32" s="211" t="s">
        <v>8</v>
      </c>
      <c r="C32" s="216" t="s">
        <v>105</v>
      </c>
      <c r="D32" s="222">
        <v>57.8</v>
      </c>
      <c r="E32" s="222">
        <v>11.7</v>
      </c>
      <c r="F32" s="211">
        <v>17</v>
      </c>
      <c r="H32" s="218" t="str">
        <f t="shared" si="2"/>
        <v>NE</v>
      </c>
      <c r="I32" s="218">
        <f>IFERROR(HLOOKUP('Air Source Heat Pump(s)'!D$7,'phius_monthly climate data'!$L$3:$CA$83,'phius_monthly climate data'!$CD32,FALSE),"")</f>
        <v>0</v>
      </c>
      <c r="J32" s="221" t="s">
        <v>77</v>
      </c>
      <c r="K32" s="221" t="s">
        <v>32</v>
      </c>
      <c r="N32" s="221" t="str">
        <v>HOONAH</v>
      </c>
      <c r="T32" s="221" t="str">
        <v>LOS ANGELES INTL ARPT</v>
      </c>
      <c r="Y32" s="221" t="str">
        <v>SARASOTA BRADENTON</v>
      </c>
      <c r="AB32" s="221" t="str">
        <v>ORANGE CITY</v>
      </c>
      <c r="AM32" s="221" t="str">
        <v>SAULT STE MARIE SANDERSON FIE</v>
      </c>
      <c r="AN32" s="221" t="str">
        <v>LITTLE FALLS (AWOS)</v>
      </c>
      <c r="BR32" s="221" t="str">
        <v>GREENVILLE MUNI AP</v>
      </c>
      <c r="BT32" s="221" t="str">
        <v>WINCHESTER RGNL</v>
      </c>
      <c r="CD32" s="215">
        <v>30</v>
      </c>
      <c r="CF32" s="215" t="s">
        <v>40</v>
      </c>
      <c r="CG32" s="215" t="s">
        <v>1145</v>
      </c>
    </row>
    <row r="33" spans="1:85" x14ac:dyDescent="0.35">
      <c r="A33" s="211" t="s">
        <v>77</v>
      </c>
      <c r="B33" s="211" t="s">
        <v>8</v>
      </c>
      <c r="C33" s="216" t="s">
        <v>106</v>
      </c>
      <c r="D33" s="222">
        <v>67</v>
      </c>
      <c r="E33" s="222">
        <v>1.9</v>
      </c>
      <c r="F33" s="211">
        <v>2</v>
      </c>
      <c r="H33" s="218" t="str">
        <f t="shared" si="2"/>
        <v>NL</v>
      </c>
      <c r="I33" s="218">
        <f>IFERROR(HLOOKUP('Air Source Heat Pump(s)'!D$7,'phius_monthly climate data'!$L$3:$CA$83,'phius_monthly climate data'!$CD33,FALSE),"")</f>
        <v>0</v>
      </c>
      <c r="J33" s="221" t="s">
        <v>77</v>
      </c>
      <c r="K33" s="221" t="s">
        <v>33</v>
      </c>
      <c r="N33" s="221" t="str">
        <v>HOOPER BAY</v>
      </c>
      <c r="T33" s="221" t="str">
        <v>MARCH AFB</v>
      </c>
      <c r="Y33" s="221" t="str">
        <v>SOUTHWEST FLORIDA I</v>
      </c>
      <c r="AB33" s="221" t="str">
        <v>OTTUMWA INDUSTRIAL AP</v>
      </c>
      <c r="AM33" s="221" t="str">
        <v>ST.CLAIR COUNTY INT</v>
      </c>
      <c r="AN33" s="221" t="str">
        <v>MANKATO(AWOS)</v>
      </c>
      <c r="BR33" s="221" t="str">
        <v>HARLINGEN RIO GRANDE VALLEY I</v>
      </c>
      <c r="BT33" s="221" t="str">
        <v>WISE/LONESOME PINE</v>
      </c>
      <c r="CD33" s="215">
        <v>31</v>
      </c>
      <c r="CF33" s="215" t="s">
        <v>41</v>
      </c>
      <c r="CG33" s="215" t="s">
        <v>1145</v>
      </c>
    </row>
    <row r="34" spans="1:85" x14ac:dyDescent="0.35">
      <c r="A34" s="211" t="s">
        <v>77</v>
      </c>
      <c r="B34" s="211" t="s">
        <v>8</v>
      </c>
      <c r="C34" s="216" t="s">
        <v>107</v>
      </c>
      <c r="D34" s="222">
        <v>62.8</v>
      </c>
      <c r="E34" s="222">
        <v>-41.3</v>
      </c>
      <c r="F34" s="211">
        <v>-45</v>
      </c>
      <c r="H34" s="218" t="str">
        <f t="shared" si="2"/>
        <v>NH</v>
      </c>
      <c r="I34" s="218">
        <f>IFERROR(HLOOKUP('Air Source Heat Pump(s)'!D$7,'phius_monthly climate data'!$L$3:$CA$83,'phius_monthly climate data'!$CD34,FALSE),"")</f>
        <v>0</v>
      </c>
      <c r="J34" s="221" t="s">
        <v>77</v>
      </c>
      <c r="K34" s="221" t="s">
        <v>34</v>
      </c>
      <c r="N34" s="221" t="str">
        <v>HUSLIA</v>
      </c>
      <c r="T34" s="221" t="str">
        <v>MERCED/MACREADY FLD</v>
      </c>
      <c r="Y34" s="221" t="str">
        <v>ST LUCIE CO INTL</v>
      </c>
      <c r="AB34" s="221" t="str">
        <v>RED OAK</v>
      </c>
      <c r="AM34" s="221" t="str">
        <v>TRAVERSE CITY CHERRY CAPITAL</v>
      </c>
      <c r="AN34" s="221" t="str">
        <v>MARSHALL MUNI-RYAN FIELD AWOS</v>
      </c>
      <c r="BR34" s="221" t="str">
        <v>HONDO MUNICIPAL AP</v>
      </c>
      <c r="CD34" s="215">
        <v>32</v>
      </c>
      <c r="CF34" s="215" t="s">
        <v>42</v>
      </c>
      <c r="CG34" s="215" t="s">
        <v>1145</v>
      </c>
    </row>
    <row r="35" spans="1:85" x14ac:dyDescent="0.35">
      <c r="A35" s="211" t="s">
        <v>77</v>
      </c>
      <c r="B35" s="211" t="s">
        <v>8</v>
      </c>
      <c r="C35" s="216" t="s">
        <v>108</v>
      </c>
      <c r="D35" s="222">
        <v>66</v>
      </c>
      <c r="E35" s="222">
        <v>-14.7</v>
      </c>
      <c r="F35" s="211">
        <v>-7</v>
      </c>
      <c r="H35" s="218" t="str">
        <f t="shared" si="2"/>
        <v>NJ</v>
      </c>
      <c r="I35" s="218">
        <f>IFERROR(HLOOKUP('Air Source Heat Pump(s)'!D$7,'phius_monthly climate data'!$L$3:$CA$83,'phius_monthly climate data'!$CD35,FALSE),"")</f>
        <v>0</v>
      </c>
      <c r="J35" s="221" t="s">
        <v>77</v>
      </c>
      <c r="K35" s="221" t="s">
        <v>35</v>
      </c>
      <c r="N35" s="221" t="str">
        <v>HYDABURG SEAPLANE</v>
      </c>
      <c r="T35" s="221" t="str">
        <v>MODESTO CITY-COUNTY AP</v>
      </c>
      <c r="Y35" s="221" t="str">
        <v>ST PETERSBURG ALBERT WHITTED</v>
      </c>
      <c r="AB35" s="221" t="str">
        <v>SHELDON</v>
      </c>
      <c r="AN35" s="221" t="str">
        <v>MINNEAPOLIS-ST PAUL INT ARP</v>
      </c>
      <c r="BR35" s="221" t="str">
        <v>HOUSTON BUSH INTERCONTINENTAL</v>
      </c>
      <c r="CD35" s="215">
        <v>33</v>
      </c>
      <c r="CF35" s="215" t="s">
        <v>43</v>
      </c>
      <c r="CG35" s="215" t="s">
        <v>1145</v>
      </c>
    </row>
    <row r="36" spans="1:85" x14ac:dyDescent="0.35">
      <c r="A36" s="211" t="s">
        <v>77</v>
      </c>
      <c r="B36" s="211" t="s">
        <v>8</v>
      </c>
      <c r="C36" s="216" t="s">
        <v>109</v>
      </c>
      <c r="D36" s="222">
        <v>59.9</v>
      </c>
      <c r="E36" s="222">
        <v>21.2</v>
      </c>
      <c r="F36" s="211">
        <v>19</v>
      </c>
      <c r="H36" s="218" t="str">
        <f t="shared" si="2"/>
        <v>NM</v>
      </c>
      <c r="I36" s="218">
        <f>IFERROR(HLOOKUP('Air Source Heat Pump(s)'!D$7,'phius_monthly climate data'!$L$3:$CA$83,'phius_monthly climate data'!$CD36,FALSE),"")</f>
        <v>0</v>
      </c>
      <c r="J36" s="221" t="s">
        <v>77</v>
      </c>
      <c r="K36" s="221" t="s">
        <v>36</v>
      </c>
      <c r="N36" s="221" t="str">
        <v>ILIAMNA ARPT</v>
      </c>
      <c r="T36" s="221" t="str">
        <v>MONTAGUE SISKIYOU COUNTY AP</v>
      </c>
      <c r="Y36" s="221" t="str">
        <v>ST PETERSBURG CLEAR</v>
      </c>
      <c r="AB36" s="221" t="str">
        <v>SHENANDOAH MUNI</v>
      </c>
      <c r="AN36" s="221" t="str">
        <v>MINNEAPOLIS/CRYSTAL</v>
      </c>
      <c r="BR36" s="221" t="str">
        <v>HOUSTON ELLINGTON AFB [CLEAR LAKE - UT]</v>
      </c>
      <c r="CD36" s="215">
        <v>34</v>
      </c>
      <c r="CF36" s="215" t="s">
        <v>44</v>
      </c>
      <c r="CG36" s="215" t="s">
        <v>1145</v>
      </c>
    </row>
    <row r="37" spans="1:85" x14ac:dyDescent="0.35">
      <c r="A37" s="211" t="s">
        <v>77</v>
      </c>
      <c r="B37" s="211" t="s">
        <v>8</v>
      </c>
      <c r="C37" s="216" t="s">
        <v>110</v>
      </c>
      <c r="D37" s="222">
        <v>64</v>
      </c>
      <c r="E37" s="222">
        <v>-19.600000000000001</v>
      </c>
      <c r="F37" s="211">
        <v>-25</v>
      </c>
      <c r="H37" s="218" t="str">
        <f t="shared" si="2"/>
        <v>NS</v>
      </c>
      <c r="I37" s="218">
        <f>IFERROR(HLOOKUP('Air Source Heat Pump(s)'!D$7,'phius_monthly climate data'!$L$3:$CA$83,'phius_monthly climate data'!$CD37,FALSE),"")</f>
        <v>0</v>
      </c>
      <c r="J37" s="221" t="s">
        <v>72</v>
      </c>
      <c r="K37" s="221" t="s">
        <v>37</v>
      </c>
      <c r="N37" s="221" t="str">
        <v>JUNEAU INT ARPT</v>
      </c>
      <c r="T37" s="221" t="str">
        <v>MONTEREY NAF</v>
      </c>
      <c r="Y37" s="221" t="str">
        <v>TALLAHASSEE REGIONAL AP [ISIS]</v>
      </c>
      <c r="AB37" s="221" t="str">
        <v>SIOUX CITY SIOUX GATEWAY AP</v>
      </c>
      <c r="AN37" s="221" t="str">
        <v>MORA MUNI (AWOS)</v>
      </c>
      <c r="BR37" s="221" t="str">
        <v>HOUSTON WILLIAM P HOBBY AP</v>
      </c>
      <c r="CD37" s="215">
        <v>35</v>
      </c>
      <c r="CF37" s="215" t="s">
        <v>45</v>
      </c>
      <c r="CG37" s="215" t="s">
        <v>1145</v>
      </c>
    </row>
    <row r="38" spans="1:85" x14ac:dyDescent="0.35">
      <c r="A38" s="211" t="s">
        <v>77</v>
      </c>
      <c r="B38" s="211" t="s">
        <v>8</v>
      </c>
      <c r="C38" s="216" t="s">
        <v>111</v>
      </c>
      <c r="D38" s="222">
        <v>78.099999999999994</v>
      </c>
      <c r="E38" s="222">
        <v>-38.6</v>
      </c>
      <c r="F38" s="211">
        <v>-22</v>
      </c>
      <c r="H38" s="218" t="str">
        <f t="shared" si="2"/>
        <v>NT</v>
      </c>
      <c r="I38" s="218">
        <f>IFERROR(HLOOKUP('Air Source Heat Pump(s)'!D$7,'phius_monthly climate data'!$L$3:$CA$83,'phius_monthly climate data'!$CD38,FALSE),"")</f>
        <v>0</v>
      </c>
      <c r="J38" s="221" t="s">
        <v>77</v>
      </c>
      <c r="K38" s="221" t="s">
        <v>38</v>
      </c>
      <c r="N38" s="221" t="str">
        <v>KAKE SEAPLANE BASE</v>
      </c>
      <c r="T38" s="221" t="str">
        <v>MOUNTAIN VIEW MOFFETT FLD NAS</v>
      </c>
      <c r="Y38" s="221" t="str">
        <v>TAMPA INTERNATIONAL AP</v>
      </c>
      <c r="AB38" s="221" t="str">
        <v>SPENCER</v>
      </c>
      <c r="AN38" s="221" t="str">
        <v>MORRIS MUNI (AWOS)</v>
      </c>
      <c r="BR38" s="221" t="str">
        <v>HOUSTON/D.W. HOOKS</v>
      </c>
      <c r="CD38" s="215">
        <v>36</v>
      </c>
      <c r="CF38" s="215" t="s">
        <v>46</v>
      </c>
      <c r="CG38" s="215" t="s">
        <v>1145</v>
      </c>
    </row>
    <row r="39" spans="1:85" x14ac:dyDescent="0.35">
      <c r="A39" s="211" t="s">
        <v>77</v>
      </c>
      <c r="B39" s="211" t="s">
        <v>8</v>
      </c>
      <c r="C39" s="216" t="s">
        <v>112</v>
      </c>
      <c r="D39" s="222">
        <v>78.5</v>
      </c>
      <c r="E39" s="222">
        <v>-39.6</v>
      </c>
      <c r="F39" s="211">
        <v>-20</v>
      </c>
      <c r="H39" s="218" t="str">
        <f t="shared" si="2"/>
        <v>NU</v>
      </c>
      <c r="I39" s="218">
        <f>IFERROR(HLOOKUP('Air Source Heat Pump(s)'!D$7,'phius_monthly climate data'!$L$3:$CA$83,'phius_monthly climate data'!$CD39,FALSE),"")</f>
        <v>0</v>
      </c>
      <c r="J39" s="221" t="s">
        <v>77</v>
      </c>
      <c r="K39" s="221" t="s">
        <v>39</v>
      </c>
      <c r="N39" s="221" t="str">
        <v>KENAI MUNICIPAL AP</v>
      </c>
      <c r="T39" s="221" t="str">
        <v>NAPA CO. AIRPORT</v>
      </c>
      <c r="Y39" s="221" t="str">
        <v>TYNDALL AFB</v>
      </c>
      <c r="AB39" s="221" t="str">
        <v>STORM LAKE</v>
      </c>
      <c r="AN39" s="221" t="str">
        <v>NEW ULM MUNI (AWOS)</v>
      </c>
      <c r="BR39" s="221" t="str">
        <v>KILLEEN MUNI AWOS</v>
      </c>
      <c r="CD39" s="215">
        <v>37</v>
      </c>
      <c r="CF39" s="215" t="s">
        <v>47</v>
      </c>
      <c r="CG39" s="215" t="s">
        <v>1145</v>
      </c>
    </row>
    <row r="40" spans="1:85" x14ac:dyDescent="0.35">
      <c r="A40" s="211" t="s">
        <v>77</v>
      </c>
      <c r="B40" s="211" t="s">
        <v>8</v>
      </c>
      <c r="C40" s="216" t="s">
        <v>113</v>
      </c>
      <c r="D40" s="222">
        <v>75.400000000000006</v>
      </c>
      <c r="E40" s="222">
        <v>-50.7</v>
      </c>
      <c r="F40" s="211">
        <v>-36</v>
      </c>
      <c r="H40" s="218" t="str">
        <f t="shared" si="2"/>
        <v>NV</v>
      </c>
      <c r="I40" s="218">
        <f>IFERROR(HLOOKUP('Air Source Heat Pump(s)'!D$7,'phius_monthly climate data'!$L$3:$CA$83,'phius_monthly climate data'!$CD40,FALSE),"")</f>
        <v>0</v>
      </c>
      <c r="J40" s="221" t="s">
        <v>77</v>
      </c>
      <c r="K40" s="221" t="s">
        <v>40</v>
      </c>
      <c r="N40" s="221" t="str">
        <v>KETCHIKAN INTL AP</v>
      </c>
      <c r="T40" s="221" t="str">
        <v>NEEDLES AIRPORT</v>
      </c>
      <c r="Y40" s="221" t="str">
        <v>VALPARAISO EGLIN AFB</v>
      </c>
      <c r="AB40" s="221" t="str">
        <v>WASHINGTON</v>
      </c>
      <c r="AN40" s="221" t="str">
        <v>ORR</v>
      </c>
      <c r="BR40" s="221" t="str">
        <v>KINGSVILLE</v>
      </c>
      <c r="CD40" s="215">
        <v>38</v>
      </c>
      <c r="CF40" s="215" t="s">
        <v>48</v>
      </c>
      <c r="CG40" s="215" t="s">
        <v>1145</v>
      </c>
    </row>
    <row r="41" spans="1:85" x14ac:dyDescent="0.35">
      <c r="A41" s="211" t="s">
        <v>77</v>
      </c>
      <c r="B41" s="211" t="s">
        <v>8</v>
      </c>
      <c r="C41" s="216" t="s">
        <v>114</v>
      </c>
      <c r="D41" s="222">
        <v>52.4</v>
      </c>
      <c r="E41" s="222">
        <v>-11.4</v>
      </c>
      <c r="F41" s="211">
        <v>-11</v>
      </c>
      <c r="H41" s="218" t="str">
        <f t="shared" si="2"/>
        <v>NY</v>
      </c>
      <c r="I41" s="218">
        <f>IFERROR(HLOOKUP('Air Source Heat Pump(s)'!D$7,'phius_monthly climate data'!$L$3:$CA$83,'phius_monthly climate data'!$CD41,FALSE),"")</f>
        <v>0</v>
      </c>
      <c r="J41" s="221" t="s">
        <v>77</v>
      </c>
      <c r="K41" s="221" t="s">
        <v>41</v>
      </c>
      <c r="N41" s="221" t="str">
        <v>KING SALMON ARPT</v>
      </c>
      <c r="T41" s="221" t="str">
        <v>OAKLAND METROPOLITAN ARPT</v>
      </c>
      <c r="Y41" s="221" t="str">
        <v>VALPARAISO HURLBURT</v>
      </c>
      <c r="AB41" s="221" t="str">
        <v>WATERLOO MUNICIPAL AP</v>
      </c>
      <c r="AN41" s="221" t="str">
        <v>OWATONNA (AWOS)</v>
      </c>
      <c r="BR41" s="221" t="str">
        <v>LAREDO INTL AP [UT]</v>
      </c>
      <c r="CD41" s="215">
        <v>39</v>
      </c>
      <c r="CF41" s="215" t="s">
        <v>49</v>
      </c>
      <c r="CG41" s="215" t="s">
        <v>1145</v>
      </c>
    </row>
    <row r="42" spans="1:85" x14ac:dyDescent="0.35">
      <c r="A42" s="211" t="s">
        <v>77</v>
      </c>
      <c r="B42" s="211" t="s">
        <v>8</v>
      </c>
      <c r="C42" s="216" t="s">
        <v>115</v>
      </c>
      <c r="D42" s="222">
        <v>74.099999999999994</v>
      </c>
      <c r="E42" s="222">
        <v>-33.200000000000003</v>
      </c>
      <c r="F42" s="211">
        <v>-28</v>
      </c>
      <c r="H42" s="218" t="str">
        <f t="shared" si="2"/>
        <v>OH</v>
      </c>
      <c r="I42" s="218">
        <f>IFERROR(HLOOKUP('Air Source Heat Pump(s)'!D$7,'phius_monthly climate data'!$L$3:$CA$83,'phius_monthly climate data'!$CD42,FALSE),"")</f>
        <v>0</v>
      </c>
      <c r="J42" s="221" t="s">
        <v>77</v>
      </c>
      <c r="K42" s="221" t="s">
        <v>42</v>
      </c>
      <c r="N42" s="221" t="str">
        <v>KODIAK AIRPORT</v>
      </c>
      <c r="T42" s="221" t="str">
        <v>OXNARD AIRPORT</v>
      </c>
      <c r="Y42" s="221" t="str">
        <v>VERO BEACH MUNICIPAL ARPT</v>
      </c>
      <c r="AB42" s="221" t="str">
        <v>WEBSTER CITY</v>
      </c>
      <c r="AN42" s="221" t="str">
        <v>PARK RAPIDS MUNICIPAL AP</v>
      </c>
      <c r="BR42" s="221" t="str">
        <v>LONGVIEW GREGG COUNTY AP [OVERTON - UT]</v>
      </c>
      <c r="CD42" s="215">
        <v>40</v>
      </c>
      <c r="CF42" s="215" t="s">
        <v>50</v>
      </c>
      <c r="CG42" s="215" t="s">
        <v>1145</v>
      </c>
    </row>
    <row r="43" spans="1:85" x14ac:dyDescent="0.35">
      <c r="A43" s="211" t="s">
        <v>77</v>
      </c>
      <c r="B43" s="211" t="s">
        <v>8</v>
      </c>
      <c r="C43" s="216" t="s">
        <v>116</v>
      </c>
      <c r="D43" s="222">
        <v>66.099999999999994</v>
      </c>
      <c r="E43" s="222">
        <v>5.3</v>
      </c>
      <c r="F43" s="211">
        <v>-4</v>
      </c>
      <c r="H43" s="218" t="str">
        <f t="shared" si="2"/>
        <v>OK</v>
      </c>
      <c r="I43" s="218">
        <f>IFERROR(HLOOKUP('Air Source Heat Pump(s)'!D$7,'phius_monthly climate data'!$L$3:$CA$83,'phius_monthly climate data'!$CD43,FALSE),"")</f>
        <v>0</v>
      </c>
      <c r="J43" s="221" t="s">
        <v>77</v>
      </c>
      <c r="K43" s="221" t="s">
        <v>43</v>
      </c>
      <c r="N43" s="221" t="str">
        <v>KOTZEBUE RALPH WEIN MEMORIAL</v>
      </c>
      <c r="T43" s="221" t="str">
        <v>PALM SPRINGS INTL</v>
      </c>
      <c r="Y43" s="221" t="str">
        <v>WHITING FIELD NAAS</v>
      </c>
      <c r="AN43" s="221" t="str">
        <v>PIPESTONE (AWOS)</v>
      </c>
      <c r="BR43" s="221" t="str">
        <v>LUBBOCK INTERNATIONAL AP</v>
      </c>
      <c r="CD43" s="215">
        <v>41</v>
      </c>
      <c r="CF43" s="215" t="s">
        <v>51</v>
      </c>
      <c r="CG43" s="215" t="s">
        <v>1145</v>
      </c>
    </row>
    <row r="44" spans="1:85" x14ac:dyDescent="0.35">
      <c r="A44" s="211" t="s">
        <v>77</v>
      </c>
      <c r="B44" s="211" t="s">
        <v>8</v>
      </c>
      <c r="C44" s="216" t="s">
        <v>117</v>
      </c>
      <c r="D44" s="222">
        <v>63.2</v>
      </c>
      <c r="E44" s="222">
        <v>4</v>
      </c>
      <c r="F44" s="211">
        <v>7</v>
      </c>
      <c r="H44" s="218" t="str">
        <f t="shared" ref="H44:H84" si="3">HLOOKUP($G$4,$CF$3:$CH$58,CD44,FALSE)</f>
        <v>OR</v>
      </c>
      <c r="I44" s="218">
        <f>IFERROR(HLOOKUP('Air Source Heat Pump(s)'!D$7,'phius_monthly climate data'!$L$3:$CA$83,'phius_monthly climate data'!$CD44,FALSE),"")</f>
        <v>0</v>
      </c>
      <c r="J44" s="221" t="s">
        <v>77</v>
      </c>
      <c r="K44" s="221" t="s">
        <v>44</v>
      </c>
      <c r="N44" s="221" t="str">
        <v>LAKE HOOD SEAPLANE</v>
      </c>
      <c r="T44" s="221" t="str">
        <v>PALM SPRINGS THERMAL AP</v>
      </c>
      <c r="AN44" s="221" t="str">
        <v>RED WING</v>
      </c>
      <c r="BR44" s="221" t="str">
        <v>LUFKIN ANGELINA CO</v>
      </c>
      <c r="CD44" s="215">
        <v>42</v>
      </c>
      <c r="CF44" s="215" t="s">
        <v>53</v>
      </c>
      <c r="CG44" s="215" t="s">
        <v>1145</v>
      </c>
    </row>
    <row r="45" spans="1:85" x14ac:dyDescent="0.35">
      <c r="A45" s="211" t="s">
        <v>77</v>
      </c>
      <c r="B45" s="211" t="s">
        <v>8</v>
      </c>
      <c r="C45" s="216" t="s">
        <v>1233</v>
      </c>
      <c r="D45" s="222">
        <v>70.2</v>
      </c>
      <c r="E45" s="222">
        <v>12.4</v>
      </c>
      <c r="F45" s="211">
        <v>8.6</v>
      </c>
      <c r="H45" s="218" t="str">
        <f t="shared" ref="H45:H57" si="4">HLOOKUP($G$4,$CF$3:$CH$58,CD45,FALSE)</f>
        <v>PA</v>
      </c>
      <c r="I45" s="218">
        <f>IFERROR(HLOOKUP('Air Source Heat Pump(s)'!D$7,'phius_monthly climate data'!$L$3:$CA$83,'phius_monthly climate data'!$CD45,FALSE),"")</f>
        <v>0</v>
      </c>
      <c r="N45" s="221" t="str">
        <v>MCGRATH ARPT</v>
      </c>
      <c r="T45" s="221" t="str">
        <v>PALMDALE AIRPORT</v>
      </c>
      <c r="AN45" s="221" t="str">
        <v>REDWOOD FALLS MUNI</v>
      </c>
      <c r="BR45" s="221" t="str">
        <v>MARFA AP</v>
      </c>
      <c r="CD45" s="215">
        <v>43</v>
      </c>
      <c r="CF45" s="215" t="s">
        <v>54</v>
      </c>
      <c r="CG45" s="215" t="s">
        <v>1145</v>
      </c>
    </row>
    <row r="46" spans="1:85" x14ac:dyDescent="0.35">
      <c r="A46" s="211" t="s">
        <v>77</v>
      </c>
      <c r="B46" s="211" t="s">
        <v>8</v>
      </c>
      <c r="C46" s="216" t="s">
        <v>118</v>
      </c>
      <c r="D46" s="222">
        <v>62.7</v>
      </c>
      <c r="E46" s="222">
        <v>-11.3</v>
      </c>
      <c r="F46" s="211">
        <v>-2</v>
      </c>
      <c r="H46" s="218" t="str">
        <f t="shared" si="4"/>
        <v>RI</v>
      </c>
      <c r="I46" s="218">
        <f>IFERROR(HLOOKUP('Air Source Heat Pump(s)'!D$7,'phius_monthly climate data'!$L$3:$CA$83,'phius_monthly climate data'!$CD46,FALSE),"")</f>
        <v>0</v>
      </c>
      <c r="J46" s="221" t="s">
        <v>77</v>
      </c>
      <c r="K46" s="221" t="s">
        <v>45</v>
      </c>
      <c r="N46" s="221" t="str">
        <v>MEKORYUK</v>
      </c>
      <c r="T46" s="221" t="str">
        <v>PASO ROBLES MUNICIPAL ARPT</v>
      </c>
      <c r="AN46" s="221" t="str">
        <v>ROCHESTER INTERNATIONAL ARPT</v>
      </c>
      <c r="BR46" s="221" t="str">
        <v>MCALLEN MILLER INTL AP [EDINBURG - UT]</v>
      </c>
      <c r="CD46" s="215">
        <v>44</v>
      </c>
      <c r="CF46" s="215" t="s">
        <v>57</v>
      </c>
      <c r="CG46" s="215" t="s">
        <v>1145</v>
      </c>
    </row>
    <row r="47" spans="1:85" x14ac:dyDescent="0.35">
      <c r="A47" s="211" t="s">
        <v>77</v>
      </c>
      <c r="B47" s="211" t="s">
        <v>8</v>
      </c>
      <c r="C47" s="216" t="s">
        <v>1234</v>
      </c>
      <c r="D47" s="222">
        <v>73.2</v>
      </c>
      <c r="E47" s="222">
        <v>-40.1</v>
      </c>
      <c r="F47" s="211">
        <v>-44.68</v>
      </c>
      <c r="H47" s="218" t="str">
        <f t="shared" si="4"/>
        <v>SC</v>
      </c>
      <c r="I47" s="218">
        <f>IFERROR(HLOOKUP('Air Source Heat Pump(s)'!D$7,'phius_monthly climate data'!$L$3:$CA$83,'phius_monthly climate data'!$CD47,FALSE),"")</f>
        <v>0</v>
      </c>
      <c r="J47" s="221" t="s">
        <v>77</v>
      </c>
      <c r="K47" s="221" t="s">
        <v>46</v>
      </c>
      <c r="N47" s="221" t="str">
        <v>MIDDLETON ISLAND AUT</v>
      </c>
      <c r="T47" s="221" t="str">
        <v>POINT MUGU NF</v>
      </c>
      <c r="AN47" s="221" t="str">
        <v>ROSEAU MUNI (AWOS)</v>
      </c>
      <c r="BR47" s="221" t="str">
        <v>MCGREGOR (AWOS)</v>
      </c>
      <c r="CD47" s="215">
        <v>45</v>
      </c>
      <c r="CF47" s="215" t="s">
        <v>59</v>
      </c>
      <c r="CG47" s="215" t="s">
        <v>1145</v>
      </c>
    </row>
    <row r="48" spans="1:85" x14ac:dyDescent="0.35">
      <c r="A48" s="211" t="s">
        <v>77</v>
      </c>
      <c r="B48" s="211" t="s">
        <v>8</v>
      </c>
      <c r="C48" s="216" t="s">
        <v>119</v>
      </c>
      <c r="D48" s="222">
        <v>66.3</v>
      </c>
      <c r="E48" s="222">
        <v>21.3</v>
      </c>
      <c r="F48" s="211">
        <v>19</v>
      </c>
      <c r="H48" s="218" t="str">
        <f t="shared" si="4"/>
        <v>SD</v>
      </c>
      <c r="I48" s="218">
        <f>IFERROR(HLOOKUP('Air Source Heat Pump(s)'!D$7,'phius_monthly climate data'!$L$3:$CA$83,'phius_monthly climate data'!$CD48,FALSE),"")</f>
        <v>0</v>
      </c>
      <c r="J48" s="221" t="s">
        <v>77</v>
      </c>
      <c r="K48" s="221" t="s">
        <v>47</v>
      </c>
      <c r="N48" s="221" t="str">
        <v>MINCHUMINA</v>
      </c>
      <c r="T48" s="221" t="str">
        <v>PORTERVILLE (AWOS)</v>
      </c>
      <c r="AN48" s="221" t="str">
        <v>SILVER BAY</v>
      </c>
      <c r="BR48" s="221" t="str">
        <v>MIDLAND INTERNATIONAL AP</v>
      </c>
      <c r="CD48" s="215">
        <v>46</v>
      </c>
      <c r="CF48" s="215" t="s">
        <v>60</v>
      </c>
      <c r="CG48" s="215" t="s">
        <v>1145</v>
      </c>
    </row>
    <row r="49" spans="1:85" x14ac:dyDescent="0.35">
      <c r="A49" s="211" t="s">
        <v>77</v>
      </c>
      <c r="B49" s="211" t="s">
        <v>8</v>
      </c>
      <c r="C49" s="216" t="s">
        <v>120</v>
      </c>
      <c r="D49" s="222">
        <v>67.400000000000006</v>
      </c>
      <c r="E49" s="222">
        <v>-14.6</v>
      </c>
      <c r="F49" s="211">
        <v>0</v>
      </c>
      <c r="H49" s="218" t="str">
        <f t="shared" si="4"/>
        <v>TN</v>
      </c>
      <c r="I49" s="218">
        <f>IFERROR(HLOOKUP('Air Source Heat Pump(s)'!D$7,'phius_monthly climate data'!$L$3:$CA$83,'phius_monthly climate data'!$CD49,FALSE),"")</f>
        <v>0</v>
      </c>
      <c r="J49" s="221" t="s">
        <v>77</v>
      </c>
      <c r="K49" s="221" t="s">
        <v>48</v>
      </c>
      <c r="N49" s="221" t="str">
        <v>NENANA MUNICIPAL AP</v>
      </c>
      <c r="T49" s="221" t="str">
        <v>RED BLUFF MUNICIPAL ARPT</v>
      </c>
      <c r="AN49" s="221" t="str">
        <v>SOUTH ST PAUL MUNI</v>
      </c>
      <c r="BR49" s="221" t="str">
        <v>MINERAL WELLS MUNICIPAL AP</v>
      </c>
      <c r="CD49" s="215">
        <v>47</v>
      </c>
      <c r="CF49" s="215" t="s">
        <v>62</v>
      </c>
      <c r="CG49" s="215" t="s">
        <v>1145</v>
      </c>
    </row>
    <row r="50" spans="1:85" x14ac:dyDescent="0.35">
      <c r="A50" s="211" t="s">
        <v>77</v>
      </c>
      <c r="B50" s="211" t="s">
        <v>8</v>
      </c>
      <c r="C50" s="216" t="s">
        <v>121</v>
      </c>
      <c r="D50" s="222">
        <v>70.099999999999994</v>
      </c>
      <c r="E50" s="222">
        <v>8.9</v>
      </c>
      <c r="F50" s="211">
        <v>8</v>
      </c>
      <c r="H50" s="218" t="str">
        <f t="shared" si="4"/>
        <v>TX</v>
      </c>
      <c r="I50" s="218">
        <f>IFERROR(HLOOKUP('Air Source Heat Pump(s)'!D$7,'phius_monthly climate data'!$L$3:$CA$83,'phius_monthly climate data'!$CD50,FALSE),"")</f>
        <v>0</v>
      </c>
      <c r="J50" s="221" t="s">
        <v>77</v>
      </c>
      <c r="K50" s="221" t="s">
        <v>49</v>
      </c>
      <c r="N50" s="221" t="str">
        <v>NOME MUNICIPAL ARPT</v>
      </c>
      <c r="T50" s="221" t="str">
        <v>REDDING MUNICIPAL ARPT</v>
      </c>
      <c r="AN50" s="221" t="str">
        <v>ST CLOUD REGIONAL ARPT</v>
      </c>
      <c r="BR50" s="221" t="str">
        <v>NACOGDOCHES (AWOS)</v>
      </c>
      <c r="CD50" s="215">
        <v>48</v>
      </c>
      <c r="CF50" s="215" t="s">
        <v>63</v>
      </c>
      <c r="CG50" s="215" t="s">
        <v>1145</v>
      </c>
    </row>
    <row r="51" spans="1:85" x14ac:dyDescent="0.35">
      <c r="A51" s="211" t="s">
        <v>77</v>
      </c>
      <c r="B51" s="211" t="s">
        <v>8</v>
      </c>
      <c r="C51" s="216" t="s">
        <v>122</v>
      </c>
      <c r="D51" s="222">
        <v>65.599999999999994</v>
      </c>
      <c r="E51" s="222">
        <v>16.3</v>
      </c>
      <c r="F51" s="211">
        <v>12</v>
      </c>
      <c r="H51" s="218" t="str">
        <f t="shared" si="4"/>
        <v>UT</v>
      </c>
      <c r="I51" s="218">
        <f>IFERROR(HLOOKUP('Air Source Heat Pump(s)'!D$7,'phius_monthly climate data'!$L$3:$CA$83,'phius_monthly climate data'!$CD51,FALSE),"")</f>
        <v>0</v>
      </c>
      <c r="J51" s="221" t="s">
        <v>77</v>
      </c>
      <c r="K51" s="221" t="s">
        <v>50</v>
      </c>
      <c r="N51" s="221" t="str">
        <v>NORTHWAY AIRPORT</v>
      </c>
      <c r="T51" s="221" t="str">
        <v>RIVERSIDE MUNI</v>
      </c>
      <c r="AN51" s="221" t="str">
        <v>ST PAUL DOWNTOWN AP</v>
      </c>
      <c r="BR51" s="221" t="str">
        <v>PALACIOS MUNICIPAL AP</v>
      </c>
      <c r="CD51" s="215">
        <v>49</v>
      </c>
      <c r="CF51" s="215" t="s">
        <v>64</v>
      </c>
      <c r="CG51" s="215" t="s">
        <v>1145</v>
      </c>
    </row>
    <row r="52" spans="1:85" x14ac:dyDescent="0.35">
      <c r="A52" s="211" t="s">
        <v>77</v>
      </c>
      <c r="B52" s="211" t="s">
        <v>8</v>
      </c>
      <c r="C52" s="216" t="s">
        <v>123</v>
      </c>
      <c r="D52" s="222">
        <v>66.400000000000006</v>
      </c>
      <c r="E52" s="222">
        <v>-15.9</v>
      </c>
      <c r="F52" s="211">
        <v>-1</v>
      </c>
      <c r="H52" s="218" t="str">
        <f t="shared" si="4"/>
        <v>VA</v>
      </c>
      <c r="I52" s="218">
        <f>IFERROR(HLOOKUP('Air Source Heat Pump(s)'!D$7,'phius_monthly climate data'!$L$3:$CA$83,'phius_monthly climate data'!$CD52,FALSE),"")</f>
        <v>0</v>
      </c>
      <c r="J52" s="221" t="s">
        <v>77</v>
      </c>
      <c r="K52" s="221" t="s">
        <v>51</v>
      </c>
      <c r="N52" s="221" t="str">
        <v>PALMER MUNICIPAL</v>
      </c>
      <c r="T52" s="221" t="str">
        <v>SACRAMENTO EXECUTIVE ARPT</v>
      </c>
      <c r="AN52" s="221" t="str">
        <v>THIEF RIVER(AWOS)</v>
      </c>
      <c r="BR52" s="221" t="str">
        <v>PORT ARTHUR JEFFERSON COUNTY</v>
      </c>
      <c r="CD52" s="215">
        <v>50</v>
      </c>
      <c r="CF52" s="215" t="s">
        <v>65</v>
      </c>
      <c r="CG52" s="215" t="s">
        <v>1145</v>
      </c>
    </row>
    <row r="53" spans="1:85" x14ac:dyDescent="0.35">
      <c r="A53" s="211" t="s">
        <v>77</v>
      </c>
      <c r="B53" s="211" t="s">
        <v>8</v>
      </c>
      <c r="C53" s="216" t="s">
        <v>124</v>
      </c>
      <c r="D53" s="222">
        <v>68.900000000000006</v>
      </c>
      <c r="E53" s="222">
        <v>18.899999999999999</v>
      </c>
      <c r="F53" s="211">
        <v>9</v>
      </c>
      <c r="H53" s="218" t="str">
        <f t="shared" si="4"/>
        <v>VT</v>
      </c>
      <c r="I53" s="218">
        <f>IFERROR(HLOOKUP('Air Source Heat Pump(s)'!D$7,'phius_monthly climate data'!$L$3:$CA$83,'phius_monthly climate data'!$CD53,FALSE),"")</f>
        <v>0</v>
      </c>
      <c r="J53" s="221" t="s">
        <v>72</v>
      </c>
      <c r="K53" s="221" t="s">
        <v>52</v>
      </c>
      <c r="N53" s="221" t="str">
        <v>PETERSBURG</v>
      </c>
      <c r="T53" s="221" t="str">
        <v>SACRAMENTO METROPOLITAN AP</v>
      </c>
      <c r="AN53" s="221" t="str">
        <v>TWO HARBORS MUNI AP</v>
      </c>
      <c r="BR53" s="221" t="str">
        <v>RANDOLPH AFB</v>
      </c>
      <c r="CD53" s="215">
        <v>51</v>
      </c>
      <c r="CF53" s="215" t="s">
        <v>66</v>
      </c>
      <c r="CG53" s="215" t="s">
        <v>1145</v>
      </c>
    </row>
    <row r="54" spans="1:85" x14ac:dyDescent="0.35">
      <c r="A54" s="211" t="s">
        <v>77</v>
      </c>
      <c r="B54" s="211" t="s">
        <v>8</v>
      </c>
      <c r="C54" s="216" t="s">
        <v>125</v>
      </c>
      <c r="D54" s="222">
        <v>68.7</v>
      </c>
      <c r="E54" s="222">
        <v>-19.100000000000001</v>
      </c>
      <c r="F54" s="211">
        <v>-10</v>
      </c>
      <c r="H54" s="218" t="str">
        <f t="shared" si="4"/>
        <v>WA</v>
      </c>
      <c r="I54" s="218">
        <f>IFERROR(HLOOKUP('Air Source Heat Pump(s)'!D$7,'phius_monthly climate data'!$L$3:$CA$83,'phius_monthly climate data'!$CD54,FALSE),"")</f>
        <v>0</v>
      </c>
      <c r="J54" s="221" t="s">
        <v>77</v>
      </c>
      <c r="K54" s="221" t="s">
        <v>53</v>
      </c>
      <c r="N54" s="221" t="str">
        <v>POINT HOPE (AWOS)</v>
      </c>
      <c r="T54" s="221" t="str">
        <v>SALINAS MUNICIPAL AP</v>
      </c>
      <c r="AN54" s="221" t="str">
        <v>WHEATON NDB (AWOS)</v>
      </c>
      <c r="BR54" s="221" t="str">
        <v>ROCKPORT/ARANSAS CO</v>
      </c>
      <c r="CD54" s="215">
        <v>52</v>
      </c>
      <c r="CF54" s="215" t="s">
        <v>67</v>
      </c>
      <c r="CG54" s="215" t="s">
        <v>1145</v>
      </c>
    </row>
    <row r="55" spans="1:85" x14ac:dyDescent="0.35">
      <c r="A55" s="211" t="s">
        <v>77</v>
      </c>
      <c r="B55" s="211" t="s">
        <v>8</v>
      </c>
      <c r="C55" s="216" t="s">
        <v>126</v>
      </c>
      <c r="D55" s="222">
        <v>64.900000000000006</v>
      </c>
      <c r="E55" s="222">
        <v>12.8</v>
      </c>
      <c r="F55" s="211">
        <v>20</v>
      </c>
      <c r="H55" s="218" t="str">
        <f t="shared" si="4"/>
        <v>WI</v>
      </c>
      <c r="I55" s="218">
        <f>IFERROR(HLOOKUP('Air Source Heat Pump(s)'!D$7,'phius_monthly climate data'!$L$3:$CA$83,'phius_monthly climate data'!$CD55,FALSE),"")</f>
        <v>0</v>
      </c>
      <c r="J55" s="221" t="s">
        <v>77</v>
      </c>
      <c r="K55" s="221" t="s">
        <v>54</v>
      </c>
      <c r="N55" s="221" t="str">
        <v>PORT HEIDEN</v>
      </c>
      <c r="T55" s="221" t="str">
        <v>SAN DIEGO LINDBERGH FIELD</v>
      </c>
      <c r="AN55" s="221" t="str">
        <v>WILLMAR</v>
      </c>
      <c r="BR55" s="221" t="str">
        <v>SAN ANGELO MATHIS FIELD</v>
      </c>
      <c r="CD55" s="215">
        <v>53</v>
      </c>
      <c r="CF55" s="215" t="s">
        <v>68</v>
      </c>
      <c r="CG55" s="215" t="s">
        <v>1145</v>
      </c>
    </row>
    <row r="56" spans="1:85" x14ac:dyDescent="0.35">
      <c r="A56" s="211" t="s">
        <v>77</v>
      </c>
      <c r="B56" s="211" t="s">
        <v>8</v>
      </c>
      <c r="C56" s="216" t="s">
        <v>127</v>
      </c>
      <c r="D56" s="222">
        <v>64.900000000000006</v>
      </c>
      <c r="E56" s="222">
        <v>-31</v>
      </c>
      <c r="F56" s="211">
        <v>-25</v>
      </c>
      <c r="H56" s="218" t="str">
        <f t="shared" si="4"/>
        <v>WV</v>
      </c>
      <c r="I56" s="218">
        <f>IFERROR(HLOOKUP('Air Source Heat Pump(s)'!D$7,'phius_monthly climate data'!$L$3:$CA$83,'phius_monthly climate data'!$CD56,FALSE),"")</f>
        <v>0</v>
      </c>
      <c r="J56" s="221" t="s">
        <v>72</v>
      </c>
      <c r="K56" s="221" t="s">
        <v>55</v>
      </c>
      <c r="N56" s="221" t="str">
        <v>SAINT MARY`S (AWOS)</v>
      </c>
      <c r="T56" s="221" t="str">
        <v>SAN DIEGO MIRAMAR NAS</v>
      </c>
      <c r="AN56" s="221" t="str">
        <v>WINONA MUNI (AWOS)</v>
      </c>
      <c r="BR56" s="221" t="str">
        <v>SAN ANTONIO INTL AP</v>
      </c>
      <c r="CD56" s="215">
        <v>54</v>
      </c>
      <c r="CF56" s="215" t="s">
        <v>69</v>
      </c>
      <c r="CG56" s="215" t="s">
        <v>1145</v>
      </c>
    </row>
    <row r="57" spans="1:85" x14ac:dyDescent="0.35">
      <c r="A57" s="211" t="s">
        <v>77</v>
      </c>
      <c r="B57" s="211" t="s">
        <v>8</v>
      </c>
      <c r="C57" s="216" t="s">
        <v>128</v>
      </c>
      <c r="D57" s="222">
        <v>70.7</v>
      </c>
      <c r="E57" s="222">
        <v>-3.7</v>
      </c>
      <c r="F57" s="211">
        <v>4</v>
      </c>
      <c r="H57" s="218" t="str">
        <f t="shared" si="4"/>
        <v>WY</v>
      </c>
      <c r="I57" s="218">
        <f>IFERROR(HLOOKUP('Air Source Heat Pump(s)'!D$7,'phius_monthly climate data'!$L$3:$CA$83,'phius_monthly climate data'!$CD57,FALSE),"")</f>
        <v>0</v>
      </c>
      <c r="J57" s="221" t="s">
        <v>72</v>
      </c>
      <c r="K57" s="221" t="s">
        <v>56</v>
      </c>
      <c r="N57" s="221" t="str">
        <v>SAND POINT</v>
      </c>
      <c r="T57" s="221" t="str">
        <v>SAN DIEGO NORTH ISLAND NAS</v>
      </c>
      <c r="AN57" s="221" t="str">
        <v>WORTHINGTON (AWOS)</v>
      </c>
      <c r="BR57" s="221" t="str">
        <v>SAN ANTONIO KELLY FIELD AFB</v>
      </c>
      <c r="CD57" s="215">
        <v>55</v>
      </c>
      <c r="CF57" s="215" t="s">
        <v>70</v>
      </c>
      <c r="CG57" s="215" t="s">
        <v>1145</v>
      </c>
    </row>
    <row r="58" spans="1:85" x14ac:dyDescent="0.35">
      <c r="A58" s="211" t="s">
        <v>77</v>
      </c>
      <c r="B58" s="211" t="s">
        <v>8</v>
      </c>
      <c r="C58" s="216" t="s">
        <v>129</v>
      </c>
      <c r="D58" s="222">
        <v>74.900000000000006</v>
      </c>
      <c r="E58" s="222">
        <v>-41.6</v>
      </c>
      <c r="F58" s="211">
        <v>-38</v>
      </c>
      <c r="I58" s="218">
        <f>IFERROR(HLOOKUP('Air Source Heat Pump(s)'!D$7,'phius_monthly climate data'!$L$3:$CA$83,'phius_monthly climate data'!$CD58,FALSE),"")</f>
        <v>0</v>
      </c>
      <c r="J58" s="221" t="s">
        <v>77</v>
      </c>
      <c r="K58" s="221" t="s">
        <v>57</v>
      </c>
      <c r="N58" s="221" t="str">
        <v>SAVOONGA</v>
      </c>
      <c r="T58" s="221" t="str">
        <v>SAN DIEGO/MONTGOMER</v>
      </c>
      <c r="BR58" s="221" t="str">
        <v>SAN ANTONIO/STINSON</v>
      </c>
      <c r="CD58" s="215">
        <v>56</v>
      </c>
    </row>
    <row r="59" spans="1:85" x14ac:dyDescent="0.35">
      <c r="A59" s="211" t="s">
        <v>77</v>
      </c>
      <c r="B59" s="211" t="s">
        <v>8</v>
      </c>
      <c r="C59" s="216" t="s">
        <v>130</v>
      </c>
      <c r="D59" s="222">
        <v>57.1</v>
      </c>
      <c r="E59" s="222">
        <v>-10.6</v>
      </c>
      <c r="F59" s="211">
        <v>-6</v>
      </c>
      <c r="I59" s="218">
        <f>IFERROR(HLOOKUP('Air Source Heat Pump(s)'!D$7,'phius_monthly climate data'!$L$3:$CA$83,'phius_monthly climate data'!$CD59,FALSE),"")</f>
        <v>0</v>
      </c>
      <c r="J59" s="221" t="s">
        <v>132</v>
      </c>
      <c r="K59" s="221" t="s">
        <v>58</v>
      </c>
      <c r="N59" s="221" t="str">
        <v>SELAWIK</v>
      </c>
      <c r="T59" s="221" t="str">
        <v>SAN FRANCISCO INTL AP</v>
      </c>
      <c r="BR59" s="221" t="str">
        <v>TYLER/POUNDS FLD</v>
      </c>
      <c r="CD59" s="215">
        <v>57</v>
      </c>
    </row>
    <row r="60" spans="1:85" x14ac:dyDescent="0.35">
      <c r="A60" s="211" t="s">
        <v>77</v>
      </c>
      <c r="B60" s="211" t="s">
        <v>8</v>
      </c>
      <c r="C60" s="216" t="s">
        <v>131</v>
      </c>
      <c r="D60" s="222">
        <v>61.2</v>
      </c>
      <c r="E60" s="222">
        <v>23.1</v>
      </c>
      <c r="F60" s="211">
        <v>20</v>
      </c>
      <c r="I60" s="218">
        <f>IFERROR(HLOOKUP('Air Source Heat Pump(s)'!D$7,'phius_monthly climate data'!$L$3:$CA$83,'phius_monthly climate data'!$CD60,FALSE),"")</f>
        <v>0</v>
      </c>
      <c r="J60" s="221" t="s">
        <v>77</v>
      </c>
      <c r="K60" s="221" t="s">
        <v>59</v>
      </c>
      <c r="N60" s="221" t="str">
        <v>SEWARD</v>
      </c>
      <c r="T60" s="221" t="str">
        <v>SAN JOSE INTL AP</v>
      </c>
      <c r="BR60" s="221" t="str">
        <v>VICTORIA REGIONAL AP</v>
      </c>
      <c r="CD60" s="215">
        <v>58</v>
      </c>
    </row>
    <row r="61" spans="1:85" x14ac:dyDescent="0.35">
      <c r="A61" s="211" t="s">
        <v>77</v>
      </c>
      <c r="B61" s="211" t="s">
        <v>8</v>
      </c>
      <c r="C61" s="216" t="s">
        <v>1235</v>
      </c>
      <c r="D61" s="222">
        <v>73.2</v>
      </c>
      <c r="E61" s="222">
        <v>-33.4</v>
      </c>
      <c r="F61" s="211">
        <v>-49.54</v>
      </c>
      <c r="I61" s="218">
        <f>IFERROR(HLOOKUP('Air Source Heat Pump(s)'!D$7,'phius_monthly climate data'!$L$3:$CA$83,'phius_monthly climate data'!$CD61,FALSE),"")</f>
        <v>0</v>
      </c>
      <c r="J61" s="221" t="s">
        <v>77</v>
      </c>
      <c r="K61" s="221" t="s">
        <v>60</v>
      </c>
      <c r="N61" s="221" t="str">
        <v>SHEMYA AFB</v>
      </c>
      <c r="T61" s="221" t="str">
        <v>SAN LUIS CO RGNL</v>
      </c>
      <c r="BR61" s="221" t="str">
        <v>WACO REGIONAL AP</v>
      </c>
      <c r="CD61" s="215">
        <v>59</v>
      </c>
    </row>
    <row r="62" spans="1:85" x14ac:dyDescent="0.35">
      <c r="A62" s="211" t="s">
        <v>77</v>
      </c>
      <c r="B62" s="211" t="s">
        <v>8</v>
      </c>
      <c r="C62" s="216" t="s">
        <v>133</v>
      </c>
      <c r="D62" s="222">
        <v>76.5</v>
      </c>
      <c r="E62" s="222">
        <v>-41</v>
      </c>
      <c r="F62" s="211">
        <v>-33</v>
      </c>
      <c r="I62" s="218">
        <f>IFERROR(HLOOKUP('Air Source Heat Pump(s)'!D$7,'phius_monthly climate data'!$L$3:$CA$83,'phius_monthly climate data'!$CD62,FALSE),"")</f>
        <v>0</v>
      </c>
      <c r="J62" s="221" t="s">
        <v>72</v>
      </c>
      <c r="K62" s="221" t="s">
        <v>61</v>
      </c>
      <c r="N62" s="221" t="str">
        <v>SHISHMAREF (AWOS)</v>
      </c>
      <c r="T62" s="221" t="str">
        <v>SANDBERG</v>
      </c>
      <c r="BR62" s="221" t="str">
        <v>WICHITA FALLS MUNICIPAL ARPT</v>
      </c>
      <c r="CD62" s="215">
        <v>60</v>
      </c>
    </row>
    <row r="63" spans="1:85" x14ac:dyDescent="0.35">
      <c r="A63" s="211" t="s">
        <v>77</v>
      </c>
      <c r="B63" s="211" t="s">
        <v>8</v>
      </c>
      <c r="C63" s="216" t="s">
        <v>134</v>
      </c>
      <c r="D63" s="222">
        <v>64.400000000000006</v>
      </c>
      <c r="E63" s="222">
        <v>-24.6</v>
      </c>
      <c r="F63" s="211">
        <v>-17</v>
      </c>
      <c r="I63" s="218">
        <f>IFERROR(HLOOKUP('Air Source Heat Pump(s)'!D$7,'phius_monthly climate data'!$L$3:$CA$83,'phius_monthly climate data'!$CD63,FALSE),"")</f>
        <v>0</v>
      </c>
      <c r="J63" s="221" t="s">
        <v>77</v>
      </c>
      <c r="K63" s="221" t="s">
        <v>62</v>
      </c>
      <c r="N63" s="221" t="str">
        <v>SITKA JAPONSKI AP</v>
      </c>
      <c r="T63" s="221" t="str">
        <v>SANTA ANA-JOHN WAYNE AP</v>
      </c>
      <c r="BR63" s="221" t="str">
        <v>WINK WINKLER COUNTY AP</v>
      </c>
      <c r="CD63" s="215">
        <v>61</v>
      </c>
    </row>
    <row r="64" spans="1:85" x14ac:dyDescent="0.35">
      <c r="A64" s="211" t="s">
        <v>77</v>
      </c>
      <c r="B64" s="211" t="s">
        <v>8</v>
      </c>
      <c r="C64" s="216" t="s">
        <v>135</v>
      </c>
      <c r="D64" s="222">
        <v>74.599999999999994</v>
      </c>
      <c r="E64" s="222">
        <v>-44.9</v>
      </c>
      <c r="F64" s="211">
        <v>-47</v>
      </c>
      <c r="I64" s="218">
        <f>IFERROR(HLOOKUP('Air Source Heat Pump(s)'!D$7,'phius_monthly climate data'!$L$3:$CA$83,'phius_monthly climate data'!$CD64,FALSE),"")</f>
        <v>0</v>
      </c>
      <c r="J64" s="221" t="s">
        <v>77</v>
      </c>
      <c r="K64" s="221" t="s">
        <v>63</v>
      </c>
      <c r="N64" s="221" t="str">
        <v>SKAGWAY AIRPORT</v>
      </c>
      <c r="T64" s="221" t="str">
        <v>SANTA BARBARA MUNICIPAL AP</v>
      </c>
      <c r="CD64" s="215">
        <v>62</v>
      </c>
    </row>
    <row r="65" spans="1:82" x14ac:dyDescent="0.35">
      <c r="A65" s="211" t="s">
        <v>77</v>
      </c>
      <c r="B65" s="211" t="s">
        <v>8</v>
      </c>
      <c r="C65" s="216" t="s">
        <v>136</v>
      </c>
      <c r="D65" s="222">
        <v>70.8</v>
      </c>
      <c r="E65" s="222">
        <v>-9.3000000000000007</v>
      </c>
      <c r="F65" s="211">
        <v>3</v>
      </c>
      <c r="I65" s="218">
        <f>IFERROR(HLOOKUP('Air Source Heat Pump(s)'!D$7,'phius_monthly climate data'!$L$3:$CA$83,'phius_monthly climate data'!$CD65,FALSE),"")</f>
        <v>0</v>
      </c>
      <c r="J65" s="221" t="s">
        <v>77</v>
      </c>
      <c r="K65" s="221" t="s">
        <v>64</v>
      </c>
      <c r="N65" s="221" t="str">
        <v>SLEETMUTE</v>
      </c>
      <c r="T65" s="221" t="str">
        <v>SANTA MARIA PUBLIC ARPT</v>
      </c>
      <c r="CD65" s="215">
        <v>63</v>
      </c>
    </row>
    <row r="66" spans="1:82" x14ac:dyDescent="0.35">
      <c r="A66" s="211" t="s">
        <v>77</v>
      </c>
      <c r="B66" s="211" t="s">
        <v>8</v>
      </c>
      <c r="C66" s="216" t="s">
        <v>137</v>
      </c>
      <c r="D66" s="222">
        <v>65.900000000000006</v>
      </c>
      <c r="E66" s="222">
        <v>12.2</v>
      </c>
      <c r="F66" s="211">
        <v>5</v>
      </c>
      <c r="I66" s="218">
        <f>IFERROR(HLOOKUP('Air Source Heat Pump(s)'!D$7,'phius_monthly climate data'!$L$3:$CA$83,'phius_monthly climate data'!$CD66,FALSE),"")</f>
        <v>0</v>
      </c>
      <c r="J66" s="221" t="s">
        <v>77</v>
      </c>
      <c r="K66" s="221" t="s">
        <v>65</v>
      </c>
      <c r="N66" s="221" t="str">
        <v>SOLDOTNA</v>
      </c>
      <c r="T66" s="221" t="str">
        <v>SANTA MONICA MUNI</v>
      </c>
      <c r="CD66" s="215">
        <v>64</v>
      </c>
    </row>
    <row r="67" spans="1:82" x14ac:dyDescent="0.35">
      <c r="A67" s="211" t="s">
        <v>77</v>
      </c>
      <c r="B67" s="211" t="s">
        <v>8</v>
      </c>
      <c r="C67" s="216" t="s">
        <v>138</v>
      </c>
      <c r="D67" s="222">
        <v>55.1</v>
      </c>
      <c r="E67" s="222">
        <v>-24.1</v>
      </c>
      <c r="F67" s="211">
        <v>-14</v>
      </c>
      <c r="I67" s="218">
        <f>IFERROR(HLOOKUP('Air Source Heat Pump(s)'!D$7,'phius_monthly climate data'!$L$3:$CA$83,'phius_monthly climate data'!$CD67,FALSE),"")</f>
        <v>0</v>
      </c>
      <c r="J67" s="221" t="s">
        <v>77</v>
      </c>
      <c r="K67" s="221" t="s">
        <v>66</v>
      </c>
      <c r="N67" s="221" t="str">
        <v>ST PAUL ISLAND ARPT</v>
      </c>
      <c r="T67" s="221" t="str">
        <v>SANTA ROSA (AWOS)</v>
      </c>
      <c r="CD67" s="215">
        <v>65</v>
      </c>
    </row>
    <row r="68" spans="1:82" x14ac:dyDescent="0.35">
      <c r="A68" s="211" t="s">
        <v>77</v>
      </c>
      <c r="B68" s="211" t="s">
        <v>8</v>
      </c>
      <c r="C68" s="216" t="s">
        <v>139</v>
      </c>
      <c r="D68" s="222">
        <v>61.5</v>
      </c>
      <c r="E68" s="222">
        <v>-1.6</v>
      </c>
      <c r="F68" s="211">
        <v>10</v>
      </c>
      <c r="I68" s="218">
        <f>IFERROR(HLOOKUP('Air Source Heat Pump(s)'!D$7,'phius_monthly climate data'!$L$3:$CA$83,'phius_monthly climate data'!$CD68,FALSE),"")</f>
        <v>0</v>
      </c>
      <c r="J68" s="221" t="s">
        <v>77</v>
      </c>
      <c r="K68" s="221" t="s">
        <v>67</v>
      </c>
      <c r="N68" s="221" t="str">
        <v>TALKEETNA STATE ARPT</v>
      </c>
      <c r="T68" s="221" t="str">
        <v>SOUTH LAKE TAHOE-LAKE TAHOE AP</v>
      </c>
      <c r="CD68" s="215">
        <v>66</v>
      </c>
    </row>
    <row r="69" spans="1:82" x14ac:dyDescent="0.35">
      <c r="A69" s="211" t="s">
        <v>77</v>
      </c>
      <c r="B69" s="211" t="s">
        <v>8</v>
      </c>
      <c r="C69" s="216" t="s">
        <v>140</v>
      </c>
      <c r="D69" s="222">
        <v>66.099999999999994</v>
      </c>
      <c r="E69" s="222">
        <v>-18.399999999999999</v>
      </c>
      <c r="F69" s="211">
        <v>-9</v>
      </c>
      <c r="I69" s="218">
        <f>IFERROR(HLOOKUP('Air Source Heat Pump(s)'!D$7,'phius_monthly climate data'!$L$3:$CA$83,'phius_monthly climate data'!$CD69,FALSE),"")</f>
        <v>0</v>
      </c>
      <c r="J69" s="221" t="s">
        <v>77</v>
      </c>
      <c r="K69" s="221" t="s">
        <v>68</v>
      </c>
      <c r="N69" s="221" t="str">
        <v>TANANA RALPH M CALHOUN MEM AP</v>
      </c>
      <c r="T69" s="221" t="str">
        <v>STOCKTON METROPOLITAN ARPT</v>
      </c>
      <c r="CD69" s="215">
        <v>67</v>
      </c>
    </row>
    <row r="70" spans="1:82" x14ac:dyDescent="0.35">
      <c r="A70" s="211" t="s">
        <v>77</v>
      </c>
      <c r="B70" s="211" t="s">
        <v>8</v>
      </c>
      <c r="C70" s="216" t="s">
        <v>141</v>
      </c>
      <c r="D70" s="222">
        <v>59.1</v>
      </c>
      <c r="E70" s="222">
        <v>15.5</v>
      </c>
      <c r="F70" s="211">
        <v>18</v>
      </c>
      <c r="I70" s="218">
        <f>IFERROR(HLOOKUP('Air Source Heat Pump(s)'!D$7,'phius_monthly climate data'!$L$3:$CA$83,'phius_monthly climate data'!$CD70,FALSE),"")</f>
        <v>0</v>
      </c>
      <c r="J70" s="221" t="s">
        <v>77</v>
      </c>
      <c r="K70" s="221" t="s">
        <v>69</v>
      </c>
      <c r="N70" s="221" t="str">
        <v>TOGIAK VILLAGE AWOS</v>
      </c>
      <c r="T70" s="221" t="str">
        <v>TRAVIS FIELD AFB</v>
      </c>
      <c r="CD70" s="215">
        <v>68</v>
      </c>
    </row>
    <row r="71" spans="1:82" x14ac:dyDescent="0.35">
      <c r="A71" s="211" t="s">
        <v>77</v>
      </c>
      <c r="B71" s="211" t="s">
        <v>8</v>
      </c>
      <c r="C71" s="216" t="s">
        <v>142</v>
      </c>
      <c r="D71" s="222">
        <v>54.4</v>
      </c>
      <c r="E71" s="222">
        <v>-17.8</v>
      </c>
      <c r="F71" s="211">
        <v>-12</v>
      </c>
      <c r="I71" s="218">
        <f>IFERROR(HLOOKUP('Air Source Heat Pump(s)'!D$7,'phius_monthly climate data'!$L$3:$CA$83,'phius_monthly climate data'!$CD71,FALSE),"")</f>
        <v>0</v>
      </c>
      <c r="J71" s="221" t="s">
        <v>77</v>
      </c>
      <c r="K71" s="221" t="s">
        <v>70</v>
      </c>
      <c r="N71" s="221" t="str">
        <v>UNALAKLEET FIELD</v>
      </c>
      <c r="T71" s="221" t="str">
        <v>TRUCKEE-TAHOE</v>
      </c>
      <c r="CD71" s="215">
        <v>69</v>
      </c>
    </row>
    <row r="72" spans="1:82" x14ac:dyDescent="0.35">
      <c r="A72" s="211" t="s">
        <v>77</v>
      </c>
      <c r="B72" s="211" t="s">
        <v>8</v>
      </c>
      <c r="C72" s="216" t="s">
        <v>143</v>
      </c>
      <c r="D72" s="222">
        <v>69.400000000000006</v>
      </c>
      <c r="E72" s="222">
        <v>-36.6</v>
      </c>
      <c r="F72" s="211">
        <v>-49</v>
      </c>
      <c r="I72" s="218">
        <f>IFERROR(HLOOKUP('Air Source Heat Pump(s)'!D$7,'phius_monthly climate data'!$L$3:$CA$83,'phius_monthly climate data'!$CD72,FALSE),"")</f>
        <v>0</v>
      </c>
      <c r="J72" s="221" t="s">
        <v>72</v>
      </c>
      <c r="K72" s="221" t="s">
        <v>71</v>
      </c>
      <c r="N72" s="221" t="str">
        <v>VALDEZ PIONEER FIEL</v>
      </c>
      <c r="T72" s="221" t="str">
        <v>TWENTYNINE PALMS</v>
      </c>
      <c r="CD72" s="215">
        <v>70</v>
      </c>
    </row>
    <row r="73" spans="1:82" x14ac:dyDescent="0.35">
      <c r="A73" s="211" t="s">
        <v>77</v>
      </c>
      <c r="B73" s="211" t="s">
        <v>8</v>
      </c>
      <c r="C73" s="216" t="s">
        <v>144</v>
      </c>
      <c r="D73" s="222">
        <v>65.8</v>
      </c>
      <c r="E73" s="222">
        <v>7</v>
      </c>
      <c r="F73" s="211">
        <v>15</v>
      </c>
      <c r="I73" s="218">
        <f>IFERROR(HLOOKUP('Air Source Heat Pump(s)'!D$7,'phius_monthly climate data'!$L$3:$CA$83,'phius_monthly climate data'!$CD73,FALSE),"")</f>
        <v>0</v>
      </c>
      <c r="J73" s="221" t="s">
        <v>87</v>
      </c>
      <c r="K73" s="221" t="s">
        <v>1148</v>
      </c>
      <c r="N73" s="221" t="str">
        <v>VALDEZ WSO</v>
      </c>
      <c r="T73" s="221" t="str">
        <v>UKIAH MUNICIPAL AP</v>
      </c>
      <c r="CD73" s="215">
        <v>71</v>
      </c>
    </row>
    <row r="74" spans="1:82" x14ac:dyDescent="0.35">
      <c r="A74" s="211" t="s">
        <v>77</v>
      </c>
      <c r="B74" s="211" t="s">
        <v>8</v>
      </c>
      <c r="C74" s="216" t="s">
        <v>145</v>
      </c>
      <c r="D74" s="222">
        <v>53.7</v>
      </c>
      <c r="E74" s="222">
        <v>23.3</v>
      </c>
      <c r="F74" s="211">
        <v>20</v>
      </c>
      <c r="I74" s="218">
        <f>IFERROR(HLOOKUP('Air Source Heat Pump(s)'!D$7,'phius_monthly climate data'!$L$3:$CA$83,'phius_monthly climate data'!$CD74,FALSE),"")</f>
        <v>0</v>
      </c>
      <c r="N74" s="221" t="str">
        <v>WHITTIER</v>
      </c>
      <c r="T74" s="221" t="str">
        <v>VAN NUYS AIRPORT</v>
      </c>
      <c r="CD74" s="215">
        <v>72</v>
      </c>
    </row>
    <row r="75" spans="1:82" x14ac:dyDescent="0.35">
      <c r="A75" s="211" t="s">
        <v>77</v>
      </c>
      <c r="B75" s="211" t="s">
        <v>8</v>
      </c>
      <c r="C75" s="216" t="s">
        <v>146</v>
      </c>
      <c r="D75" s="222">
        <v>57</v>
      </c>
      <c r="E75" s="222">
        <v>-26.2</v>
      </c>
      <c r="F75" s="211">
        <v>-31</v>
      </c>
      <c r="I75" s="218">
        <f>IFERROR(HLOOKUP('Air Source Heat Pump(s)'!D$7,'phius_monthly climate data'!$L$3:$CA$83,'phius_monthly climate data'!$CD75,FALSE),"")</f>
        <v>0</v>
      </c>
      <c r="N75" s="221" t="str">
        <v>WRANGELL</v>
      </c>
      <c r="T75" s="221" t="str">
        <v>VISALIA MUNI (AWOS)</v>
      </c>
      <c r="CD75" s="215">
        <v>73</v>
      </c>
    </row>
    <row r="76" spans="1:82" x14ac:dyDescent="0.35">
      <c r="A76" s="211" t="s">
        <v>77</v>
      </c>
      <c r="B76" s="211" t="s">
        <v>8</v>
      </c>
      <c r="C76" s="216" t="s">
        <v>147</v>
      </c>
      <c r="D76" s="222">
        <v>63.9</v>
      </c>
      <c r="E76" s="222">
        <v>20.9</v>
      </c>
      <c r="F76" s="211">
        <v>18</v>
      </c>
      <c r="I76" s="218">
        <f>IFERROR(HLOOKUP('Air Source Heat Pump(s)'!D$7,'phius_monthly climate data'!$L$3:$CA$83,'phius_monthly climate data'!$CD76,FALSE),"")</f>
        <v>0</v>
      </c>
      <c r="N76" s="221" t="str">
        <v>YAKUTAT STATE ARPT</v>
      </c>
      <c r="T76" s="221" t="str">
        <v>YUBA CO</v>
      </c>
      <c r="CD76" s="215">
        <v>74</v>
      </c>
    </row>
    <row r="77" spans="1:82" x14ac:dyDescent="0.35">
      <c r="A77" s="211" t="s">
        <v>77</v>
      </c>
      <c r="B77" s="211" t="s">
        <v>8</v>
      </c>
      <c r="C77" s="216" t="s">
        <v>148</v>
      </c>
      <c r="D77" s="222">
        <v>67.7</v>
      </c>
      <c r="E77" s="222">
        <v>5.8</v>
      </c>
      <c r="F77" s="211">
        <v>1</v>
      </c>
      <c r="I77" s="218">
        <f>IFERROR(HLOOKUP('Air Source Heat Pump(s)'!D$7,'phius_monthly climate data'!$L$3:$CA$83,'phius_monthly climate data'!$CD77,FALSE),"")</f>
        <v>0</v>
      </c>
      <c r="CD77" s="215">
        <v>75</v>
      </c>
    </row>
    <row r="78" spans="1:82" x14ac:dyDescent="0.35">
      <c r="A78" s="211" t="s">
        <v>77</v>
      </c>
      <c r="B78" s="211" t="s">
        <v>8</v>
      </c>
      <c r="C78" s="216" t="s">
        <v>149</v>
      </c>
      <c r="D78" s="222">
        <v>71.599999999999994</v>
      </c>
      <c r="E78" s="222">
        <v>-32.700000000000003</v>
      </c>
      <c r="F78" s="211">
        <v>-38</v>
      </c>
      <c r="I78" s="218">
        <f>IFERROR(HLOOKUP('Air Source Heat Pump(s)'!D$7,'phius_monthly climate data'!$L$3:$CA$83,'phius_monthly climate data'!$CD78,FALSE),"")</f>
        <v>0</v>
      </c>
      <c r="CD78" s="215">
        <v>76</v>
      </c>
    </row>
    <row r="79" spans="1:82" x14ac:dyDescent="0.35">
      <c r="A79" s="211" t="s">
        <v>77</v>
      </c>
      <c r="B79" s="211" t="s">
        <v>8</v>
      </c>
      <c r="C79" s="216" t="s">
        <v>150</v>
      </c>
      <c r="D79" s="222">
        <v>67.900000000000006</v>
      </c>
      <c r="E79" s="222">
        <v>-17.899999999999999</v>
      </c>
      <c r="F79" s="211">
        <v>-4</v>
      </c>
      <c r="I79" s="218">
        <f>IFERROR(HLOOKUP('Air Source Heat Pump(s)'!D$7,'phius_monthly climate data'!$L$3:$CA$83,'phius_monthly climate data'!$CD79,FALSE),"")</f>
        <v>0</v>
      </c>
      <c r="CD79" s="215">
        <v>77</v>
      </c>
    </row>
    <row r="80" spans="1:82" x14ac:dyDescent="0.35">
      <c r="A80" s="211" t="s">
        <v>77</v>
      </c>
      <c r="B80" s="211" t="s">
        <v>8</v>
      </c>
      <c r="C80" s="216" t="s">
        <v>151</v>
      </c>
      <c r="D80" s="222">
        <v>53.3</v>
      </c>
      <c r="E80" s="222">
        <v>4.7</v>
      </c>
      <c r="F80" s="211">
        <v>11</v>
      </c>
      <c r="I80" s="218">
        <f>IFERROR(HLOOKUP('Air Source Heat Pump(s)'!D$7,'phius_monthly climate data'!$L$3:$CA$83,'phius_monthly climate data'!$CD80,FALSE),"")</f>
        <v>0</v>
      </c>
      <c r="CD80" s="215">
        <v>78</v>
      </c>
    </row>
    <row r="81" spans="1:85" x14ac:dyDescent="0.35">
      <c r="A81" s="211" t="s">
        <v>77</v>
      </c>
      <c r="B81" s="211" t="s">
        <v>8</v>
      </c>
      <c r="C81" s="216" t="s">
        <v>152</v>
      </c>
      <c r="D81" s="222">
        <v>74</v>
      </c>
      <c r="E81" s="222">
        <v>-17.600000000000001</v>
      </c>
      <c r="F81" s="211">
        <v>-13</v>
      </c>
      <c r="I81" s="218">
        <f>IFERROR(HLOOKUP('Air Source Heat Pump(s)'!D$7,'phius_monthly climate data'!$L$3:$CA$83,'phius_monthly climate data'!$CD81,FALSE),"")</f>
        <v>0</v>
      </c>
      <c r="CD81" s="215">
        <v>79</v>
      </c>
    </row>
    <row r="82" spans="1:85" x14ac:dyDescent="0.35">
      <c r="A82" s="211" t="s">
        <v>77</v>
      </c>
      <c r="B82" s="211" t="s">
        <v>8</v>
      </c>
      <c r="C82" s="216" t="s">
        <v>153</v>
      </c>
      <c r="D82" s="222">
        <v>75.7</v>
      </c>
      <c r="E82" s="222">
        <v>-42.2</v>
      </c>
      <c r="F82" s="211">
        <v>-44</v>
      </c>
      <c r="I82" s="218">
        <f>IFERROR(HLOOKUP('Air Source Heat Pump(s)'!D$7,'phius_monthly climate data'!$L$3:$CA$83,'phius_monthly climate data'!$CD82,FALSE),"")</f>
        <v>0</v>
      </c>
      <c r="CD82" s="215">
        <v>80</v>
      </c>
    </row>
    <row r="83" spans="1:85" x14ac:dyDescent="0.35">
      <c r="A83" s="211" t="s">
        <v>77</v>
      </c>
      <c r="B83" s="211" t="s">
        <v>8</v>
      </c>
      <c r="C83" s="216" t="s">
        <v>154</v>
      </c>
      <c r="D83" s="222">
        <v>63.9</v>
      </c>
      <c r="E83" s="222">
        <v>-13.6</v>
      </c>
      <c r="F83" s="211">
        <v>-6</v>
      </c>
      <c r="I83" s="218">
        <f>IFERROR(HLOOKUP('Air Source Heat Pump(s)'!D$7,'phius_monthly climate data'!$L$3:$CA$83,'phius_monthly climate data'!$CD83,FALSE),"")</f>
        <v>0</v>
      </c>
      <c r="CD83" s="215">
        <v>81</v>
      </c>
    </row>
    <row r="84" spans="1:85" x14ac:dyDescent="0.35">
      <c r="A84" s="211" t="s">
        <v>77</v>
      </c>
      <c r="B84" s="211" t="s">
        <v>8</v>
      </c>
      <c r="C84" s="216" t="s">
        <v>155</v>
      </c>
      <c r="D84" s="222">
        <v>65.5</v>
      </c>
      <c r="E84" s="222">
        <v>-25.2</v>
      </c>
      <c r="F84" s="211">
        <v>-31</v>
      </c>
      <c r="I84" s="218" t="str">
        <f>IFERROR(HLOOKUP('Air Source Heat Pump(s)'!D$7,'phius_monthly climate data'!$L$3:$CA$83,'phius_monthly climate data'!$CD84,FALSE),"")</f>
        <v/>
      </c>
      <c r="CD84" s="215">
        <v>82</v>
      </c>
    </row>
    <row r="85" spans="1:85" x14ac:dyDescent="0.35">
      <c r="A85" s="211" t="s">
        <v>77</v>
      </c>
      <c r="B85" s="211" t="s">
        <v>8</v>
      </c>
      <c r="C85" s="216" t="s">
        <v>156</v>
      </c>
      <c r="D85" s="222">
        <v>67.5</v>
      </c>
      <c r="E85" s="222">
        <v>7.1</v>
      </c>
      <c r="F85" s="211">
        <v>9</v>
      </c>
      <c r="I85" s="218" t="str">
        <f>IFERROR(HLOOKUP('Air Source Heat Pump(s)'!D$7,'phius_monthly climate data'!$L$3:$CA$83,'phius_monthly climate data'!$CD84,FALSE),"")</f>
        <v/>
      </c>
      <c r="CD85" s="215">
        <v>83</v>
      </c>
    </row>
    <row r="86" spans="1:85" x14ac:dyDescent="0.35">
      <c r="A86" s="211" t="s">
        <v>77</v>
      </c>
      <c r="B86" s="211" t="s">
        <v>8</v>
      </c>
      <c r="C86" s="216" t="s">
        <v>157</v>
      </c>
      <c r="D86" s="222">
        <v>65.7</v>
      </c>
      <c r="E86" s="222">
        <v>5.3</v>
      </c>
      <c r="F86" s="211">
        <v>10</v>
      </c>
      <c r="I86" s="218" t="str">
        <f>IFERROR(HLOOKUP('Air Source Heat Pump(s)'!D$7,'phius_monthly climate data'!$L$3:$CA$83,'phius_monthly climate data'!$CD85,FALSE),"")</f>
        <v/>
      </c>
      <c r="CD86" s="215">
        <v>84</v>
      </c>
    </row>
    <row r="87" spans="1:85" x14ac:dyDescent="0.35">
      <c r="A87" s="211" t="s">
        <v>77</v>
      </c>
      <c r="B87" s="211" t="s">
        <v>8</v>
      </c>
      <c r="C87" s="216" t="s">
        <v>158</v>
      </c>
      <c r="D87" s="222">
        <v>67.8</v>
      </c>
      <c r="E87" s="222">
        <v>9.8000000000000007</v>
      </c>
      <c r="F87" s="211">
        <v>10</v>
      </c>
      <c r="I87" s="218" t="str">
        <f>IFERROR(HLOOKUP('Air Source Heat Pump(s)'!D$7,'phius_monthly climate data'!$L$3:$CA$83,'phius_monthly climate data'!$CD86,FALSE),"")</f>
        <v/>
      </c>
      <c r="CD87" s="215">
        <v>85</v>
      </c>
    </row>
    <row r="88" spans="1:85" x14ac:dyDescent="0.35">
      <c r="A88" s="211" t="s">
        <v>77</v>
      </c>
      <c r="B88" s="211" t="s">
        <v>8</v>
      </c>
      <c r="C88" s="216" t="s">
        <v>159</v>
      </c>
      <c r="D88" s="222">
        <v>67.2</v>
      </c>
      <c r="E88" s="222">
        <v>15.8</v>
      </c>
      <c r="F88" s="211">
        <v>11</v>
      </c>
      <c r="I88" s="218" t="str">
        <f>IFERROR(HLOOKUP('Air Source Heat Pump(s)'!D$7,'phius_monthly climate data'!$L$3:$CA$83,'phius_monthly climate data'!$CD87,FALSE),"")</f>
        <v/>
      </c>
      <c r="CD88" s="215">
        <v>86</v>
      </c>
    </row>
    <row r="89" spans="1:85" x14ac:dyDescent="0.35">
      <c r="A89" s="211" t="s">
        <v>77</v>
      </c>
      <c r="B89" s="211" t="s">
        <v>8</v>
      </c>
      <c r="C89" s="216" t="s">
        <v>160</v>
      </c>
      <c r="D89" s="222">
        <v>64.2</v>
      </c>
      <c r="E89" s="222">
        <v>7</v>
      </c>
      <c r="F89" s="211">
        <v>13</v>
      </c>
      <c r="I89" s="218" t="str">
        <f>IFERROR(HLOOKUP('Air Source Heat Pump(s)'!D$7,'phius_monthly climate data'!$L$3:$CA$83,'phius_monthly climate data'!$CD88,FALSE),"")</f>
        <v/>
      </c>
      <c r="CD89" s="215">
        <v>87</v>
      </c>
    </row>
    <row r="90" spans="1:85" x14ac:dyDescent="0.35">
      <c r="A90" s="211" t="s">
        <v>77</v>
      </c>
      <c r="B90" s="211" t="s">
        <v>9</v>
      </c>
      <c r="C90" s="216" t="s">
        <v>161</v>
      </c>
      <c r="D90" s="222">
        <v>92.7</v>
      </c>
      <c r="E90" s="222">
        <v>24.9</v>
      </c>
      <c r="F90" s="211">
        <v>34</v>
      </c>
      <c r="I90" s="218" t="str">
        <f>IFERROR(HLOOKUP('Air Source Heat Pump(s)'!D$7,'phius_monthly climate data'!$L$3:$CA$83,'phius_monthly climate data'!$CD89,FALSE),"")</f>
        <v/>
      </c>
      <c r="CD90" s="215">
        <v>88</v>
      </c>
    </row>
    <row r="91" spans="1:85" x14ac:dyDescent="0.35">
      <c r="A91" s="211" t="s">
        <v>77</v>
      </c>
      <c r="B91" s="211" t="s">
        <v>9</v>
      </c>
      <c r="C91" s="216" t="s">
        <v>162</v>
      </c>
      <c r="D91" s="222">
        <v>91.2</v>
      </c>
      <c r="E91" s="222">
        <v>27.5</v>
      </c>
      <c r="F91" s="211">
        <v>24</v>
      </c>
      <c r="I91" s="218" t="str">
        <f>IFERROR(HLOOKUP('Air Source Heat Pump(s)'!D$7,'phius_monthly climate data'!$L$3:$CA$83,'phius_monthly climate data'!$CD90,FALSE),"")</f>
        <v/>
      </c>
      <c r="CD91" s="215">
        <v>89</v>
      </c>
    </row>
    <row r="92" spans="1:85" x14ac:dyDescent="0.35">
      <c r="A92" s="211" t="s">
        <v>77</v>
      </c>
      <c r="B92" s="211" t="s">
        <v>9</v>
      </c>
      <c r="C92" s="216" t="s">
        <v>163</v>
      </c>
      <c r="D92" s="222">
        <v>93.2</v>
      </c>
      <c r="E92" s="222">
        <v>25.1</v>
      </c>
      <c r="F92" s="211">
        <v>31</v>
      </c>
      <c r="I92" s="218" t="str">
        <f>IFERROR(HLOOKUP('Air Source Heat Pump(s)'!D$7,'phius_monthly climate data'!$L$3:$CA$83,'phius_monthly climate data'!$CD91,FALSE),"")</f>
        <v/>
      </c>
      <c r="CD92" s="215">
        <v>90</v>
      </c>
      <c r="CE92" s="216"/>
      <c r="CF92" s="216"/>
      <c r="CG92" s="216"/>
    </row>
    <row r="93" spans="1:85" x14ac:dyDescent="0.35">
      <c r="A93" s="211" t="s">
        <v>77</v>
      </c>
      <c r="B93" s="211" t="s">
        <v>9</v>
      </c>
      <c r="C93" s="216" t="s">
        <v>164</v>
      </c>
      <c r="D93" s="222">
        <v>93.4</v>
      </c>
      <c r="E93" s="222">
        <v>29.8</v>
      </c>
      <c r="F93" s="211">
        <v>28</v>
      </c>
      <c r="CD93" s="215">
        <v>91</v>
      </c>
    </row>
    <row r="94" spans="1:85" x14ac:dyDescent="0.35">
      <c r="A94" s="211" t="s">
        <v>77</v>
      </c>
      <c r="B94" s="211" t="s">
        <v>9</v>
      </c>
      <c r="C94" s="216" t="s">
        <v>165</v>
      </c>
      <c r="D94" s="222">
        <v>93.9</v>
      </c>
      <c r="E94" s="222">
        <v>30.9</v>
      </c>
      <c r="F94" s="211">
        <v>34</v>
      </c>
      <c r="I94" s="218" t="str">
        <f>IFERROR(HLOOKUP('Air Source Heat Pump(s)'!D$7,'phius_monthly climate data'!$L$3:$CA$83,'phius_monthly climate data'!$CD92,FALSE),"")</f>
        <v/>
      </c>
      <c r="CD94" s="215">
        <v>92</v>
      </c>
    </row>
    <row r="95" spans="1:85" x14ac:dyDescent="0.35">
      <c r="A95" s="211" t="s">
        <v>77</v>
      </c>
      <c r="B95" s="211" t="s">
        <v>9</v>
      </c>
      <c r="C95" s="216" t="s">
        <v>1231</v>
      </c>
      <c r="D95" s="222">
        <v>91.6</v>
      </c>
      <c r="E95" s="222">
        <v>22.7</v>
      </c>
      <c r="F95" s="211">
        <v>30.92</v>
      </c>
      <c r="I95" s="218" t="str">
        <f>IFERROR(HLOOKUP('Air Source Heat Pump(s)'!D$7,'phius_monthly climate data'!$L$3:$CA$83,'phius_monthly climate data'!$CD93,FALSE),"")</f>
        <v/>
      </c>
      <c r="CD95" s="215">
        <v>93</v>
      </c>
    </row>
    <row r="96" spans="1:85" x14ac:dyDescent="0.35">
      <c r="A96" s="211" t="s">
        <v>77</v>
      </c>
      <c r="B96" s="211" t="s">
        <v>9</v>
      </c>
      <c r="C96" s="216" t="s">
        <v>166</v>
      </c>
      <c r="D96" s="222">
        <v>92.9</v>
      </c>
      <c r="E96" s="222">
        <v>22.9</v>
      </c>
      <c r="F96" s="211">
        <v>14</v>
      </c>
      <c r="I96" s="218" t="str">
        <f>IFERROR(HLOOKUP('Air Source Heat Pump(s)'!D$7,'phius_monthly climate data'!$L$3:$CA$83,'phius_monthly climate data'!$CD94,FALSE),"")</f>
        <v/>
      </c>
      <c r="CD96" s="215">
        <v>94</v>
      </c>
    </row>
    <row r="97" spans="1:82" x14ac:dyDescent="0.35">
      <c r="A97" s="211" t="s">
        <v>77</v>
      </c>
      <c r="B97" s="211" t="s">
        <v>9</v>
      </c>
      <c r="C97" s="216" t="s">
        <v>167</v>
      </c>
      <c r="D97" s="222">
        <v>95.5</v>
      </c>
      <c r="E97" s="222">
        <v>29.6</v>
      </c>
      <c r="F97" s="211">
        <v>25</v>
      </c>
      <c r="I97" s="218" t="str">
        <f>IFERROR(HLOOKUP('Air Source Heat Pump(s)'!D$7,'phius_monthly climate data'!$L$3:$CA$83,'phius_monthly climate data'!$CD95,FALSE),"")</f>
        <v/>
      </c>
      <c r="CD97" s="215">
        <v>95</v>
      </c>
    </row>
    <row r="98" spans="1:82" x14ac:dyDescent="0.35">
      <c r="A98" s="211" t="s">
        <v>77</v>
      </c>
      <c r="B98" s="211" t="s">
        <v>9</v>
      </c>
      <c r="C98" s="216" t="s">
        <v>168</v>
      </c>
      <c r="D98" s="222">
        <v>91.4</v>
      </c>
      <c r="E98" s="222">
        <v>32.5</v>
      </c>
      <c r="F98" s="211">
        <v>37</v>
      </c>
      <c r="I98" s="218" t="str">
        <f>IFERROR(HLOOKUP('Air Source Heat Pump(s)'!D$7,'phius_monthly climate data'!$L$3:$CA$83,'phius_monthly climate data'!$CD96,FALSE),"")</f>
        <v/>
      </c>
      <c r="CD98" s="215">
        <v>96</v>
      </c>
    </row>
    <row r="99" spans="1:82" x14ac:dyDescent="0.35">
      <c r="A99" s="211" t="s">
        <v>77</v>
      </c>
      <c r="B99" s="211" t="s">
        <v>9</v>
      </c>
      <c r="C99" s="216" t="s">
        <v>169</v>
      </c>
      <c r="D99" s="222">
        <v>92.2</v>
      </c>
      <c r="E99" s="222">
        <v>31.1</v>
      </c>
      <c r="F99" s="211">
        <v>33</v>
      </c>
      <c r="I99" s="218" t="str">
        <f>IFERROR(HLOOKUP('Air Source Heat Pump(s)'!D$7,'phius_monthly climate data'!$L$3:$CA$83,'phius_monthly climate data'!$CD97,FALSE),"")</f>
        <v/>
      </c>
      <c r="CD99" s="215">
        <v>97</v>
      </c>
    </row>
    <row r="100" spans="1:82" x14ac:dyDescent="0.35">
      <c r="A100" s="211" t="s">
        <v>77</v>
      </c>
      <c r="B100" s="211" t="s">
        <v>9</v>
      </c>
      <c r="C100" s="216" t="s">
        <v>170</v>
      </c>
      <c r="D100" s="222">
        <v>94.7</v>
      </c>
      <c r="E100" s="222">
        <v>27.9</v>
      </c>
      <c r="F100" s="211">
        <v>37</v>
      </c>
      <c r="CD100" s="215">
        <v>98</v>
      </c>
    </row>
    <row r="101" spans="1:82" x14ac:dyDescent="0.35">
      <c r="A101" s="211" t="s">
        <v>77</v>
      </c>
      <c r="B101" s="211" t="s">
        <v>9</v>
      </c>
      <c r="C101" s="216" t="s">
        <v>171</v>
      </c>
      <c r="D101" s="222">
        <v>93.7</v>
      </c>
      <c r="E101" s="222">
        <v>23.8</v>
      </c>
      <c r="F101" s="211">
        <v>15</v>
      </c>
      <c r="I101" s="218" t="str">
        <f>IFERROR(HLOOKUP('Air Source Heat Pump(s)'!D$7,'phius_monthly climate data'!$L$3:$CA$83,'phius_monthly climate data'!$CD98,FALSE),"")</f>
        <v/>
      </c>
      <c r="CD101" s="215">
        <v>99</v>
      </c>
    </row>
    <row r="102" spans="1:82" x14ac:dyDescent="0.35">
      <c r="A102" s="211" t="s">
        <v>77</v>
      </c>
      <c r="B102" s="211" t="s">
        <v>9</v>
      </c>
      <c r="C102" s="216" t="s">
        <v>1232</v>
      </c>
      <c r="D102" s="222">
        <v>93.2</v>
      </c>
      <c r="E102" s="222">
        <v>27.3</v>
      </c>
      <c r="F102" s="211">
        <v>33.44</v>
      </c>
      <c r="I102" s="218" t="str">
        <f>IFERROR(HLOOKUP('Air Source Heat Pump(s)'!D$7,'phius_monthly climate data'!$L$3:$CA$83,'phius_monthly climate data'!$CD99,FALSE),"")</f>
        <v/>
      </c>
      <c r="CD102" s="215">
        <v>100</v>
      </c>
    </row>
    <row r="103" spans="1:82" x14ac:dyDescent="0.35">
      <c r="A103" s="211" t="s">
        <v>77</v>
      </c>
      <c r="B103" s="211" t="s">
        <v>9</v>
      </c>
      <c r="C103" s="216" t="s">
        <v>172</v>
      </c>
      <c r="D103" s="222">
        <v>94.6</v>
      </c>
      <c r="E103" s="222">
        <v>26.6</v>
      </c>
      <c r="F103" s="211">
        <v>29</v>
      </c>
      <c r="I103" s="218" t="str">
        <f>IFERROR(HLOOKUP('Air Source Heat Pump(s)'!D$7,'phius_monthly climate data'!$L$3:$CA$83,'phius_monthly climate data'!$CD100,FALSE),"")</f>
        <v/>
      </c>
      <c r="CD103" s="215">
        <v>101</v>
      </c>
    </row>
    <row r="104" spans="1:82" x14ac:dyDescent="0.35">
      <c r="A104" s="211" t="s">
        <v>77</v>
      </c>
      <c r="B104" s="211" t="s">
        <v>10</v>
      </c>
      <c r="C104" s="216" t="s">
        <v>173</v>
      </c>
      <c r="D104" s="222">
        <v>94.9</v>
      </c>
      <c r="E104" s="222">
        <v>20.2</v>
      </c>
      <c r="F104" s="211">
        <v>16</v>
      </c>
      <c r="I104" s="218" t="str">
        <f>IFERROR(HLOOKUP('Air Source Heat Pump(s)'!D$7,'phius_monthly climate data'!$L$3:$CA$83,'phius_monthly climate data'!$CD101,FALSE),"")</f>
        <v/>
      </c>
      <c r="CD104" s="215">
        <v>102</v>
      </c>
    </row>
    <row r="105" spans="1:82" x14ac:dyDescent="0.35">
      <c r="A105" s="211" t="s">
        <v>77</v>
      </c>
      <c r="B105" s="211" t="s">
        <v>10</v>
      </c>
      <c r="C105" s="216" t="s">
        <v>174</v>
      </c>
      <c r="D105" s="222">
        <v>92.6</v>
      </c>
      <c r="E105" s="222">
        <v>15.9</v>
      </c>
      <c r="F105" s="211">
        <v>21</v>
      </c>
      <c r="I105" s="218" t="str">
        <f>IFERROR(HLOOKUP('Air Source Heat Pump(s)'!D$7,'phius_monthly climate data'!$L$3:$CA$83,'phius_monthly climate data'!$CD102,FALSE),"")</f>
        <v/>
      </c>
      <c r="CD105" s="215">
        <v>103</v>
      </c>
    </row>
    <row r="106" spans="1:82" x14ac:dyDescent="0.35">
      <c r="A106" s="211" t="s">
        <v>77</v>
      </c>
      <c r="B106" s="211" t="s">
        <v>10</v>
      </c>
      <c r="C106" s="216" t="s">
        <v>175</v>
      </c>
      <c r="D106" s="222">
        <v>95.8</v>
      </c>
      <c r="E106" s="222">
        <v>25.3</v>
      </c>
      <c r="F106" s="211">
        <v>36</v>
      </c>
      <c r="I106" s="218" t="str">
        <f>IFERROR(HLOOKUP('Air Source Heat Pump(s)'!D$7,'phius_monthly climate data'!$L$3:$CA$83,'phius_monthly climate data'!$CD103,FALSE),"")</f>
        <v/>
      </c>
      <c r="CD106" s="215">
        <v>104</v>
      </c>
    </row>
    <row r="107" spans="1:82" x14ac:dyDescent="0.35">
      <c r="A107" s="211" t="s">
        <v>77</v>
      </c>
      <c r="B107" s="211" t="s">
        <v>10</v>
      </c>
      <c r="C107" s="216" t="s">
        <v>176</v>
      </c>
      <c r="D107" s="222">
        <v>92.8</v>
      </c>
      <c r="E107" s="222">
        <v>16.3</v>
      </c>
      <c r="F107" s="211">
        <v>12</v>
      </c>
      <c r="I107" s="218" t="str">
        <f>IFERROR(HLOOKUP('Air Source Heat Pump(s)'!D$7,'phius_monthly climate data'!$L$3:$CA$83,'phius_monthly climate data'!$CD104,FALSE),"")</f>
        <v/>
      </c>
      <c r="CD107" s="215">
        <v>105</v>
      </c>
    </row>
    <row r="108" spans="1:82" x14ac:dyDescent="0.35">
      <c r="A108" s="211" t="s">
        <v>77</v>
      </c>
      <c r="B108" s="211" t="s">
        <v>10</v>
      </c>
      <c r="C108" s="216" t="s">
        <v>177</v>
      </c>
      <c r="D108" s="222">
        <v>93.4</v>
      </c>
      <c r="E108" s="222">
        <v>17.8</v>
      </c>
      <c r="F108" s="211">
        <v>26</v>
      </c>
      <c r="I108" s="218" t="str">
        <f>IFERROR(HLOOKUP('Air Source Heat Pump(s)'!D$7,'phius_monthly climate data'!$L$3:$CA$83,'phius_monthly climate data'!$CD105,FALSE),"")</f>
        <v/>
      </c>
      <c r="CD108" s="215">
        <v>106</v>
      </c>
    </row>
    <row r="109" spans="1:82" x14ac:dyDescent="0.35">
      <c r="A109" s="211" t="s">
        <v>77</v>
      </c>
      <c r="B109" s="211" t="s">
        <v>10</v>
      </c>
      <c r="C109" s="216" t="s">
        <v>178</v>
      </c>
      <c r="D109" s="222">
        <v>97.3</v>
      </c>
      <c r="E109" s="222">
        <v>22.4</v>
      </c>
      <c r="F109" s="211">
        <v>17</v>
      </c>
      <c r="I109" s="218" t="str">
        <f>IFERROR(HLOOKUP('Air Source Heat Pump(s)'!D$7,'phius_monthly climate data'!$L$3:$CA$83,'phius_monthly climate data'!$CD106,FALSE),"")</f>
        <v/>
      </c>
      <c r="CD109" s="215">
        <v>107</v>
      </c>
    </row>
    <row r="110" spans="1:82" x14ac:dyDescent="0.35">
      <c r="A110" s="211" t="s">
        <v>77</v>
      </c>
      <c r="B110" s="211" t="s">
        <v>10</v>
      </c>
      <c r="C110" s="216" t="s">
        <v>179</v>
      </c>
      <c r="D110" s="222">
        <v>92.3</v>
      </c>
      <c r="E110" s="222">
        <v>16.3</v>
      </c>
      <c r="F110" s="211">
        <v>21</v>
      </c>
      <c r="I110" s="218" t="str">
        <f>IFERROR(HLOOKUP('Air Source Heat Pump(s)'!D$7,'phius_monthly climate data'!$L$3:$CA$83,'phius_monthly climate data'!$CD107,FALSE),"")</f>
        <v/>
      </c>
      <c r="CD110" s="215">
        <v>108</v>
      </c>
    </row>
    <row r="111" spans="1:82" x14ac:dyDescent="0.35">
      <c r="A111" s="211" t="s">
        <v>77</v>
      </c>
      <c r="B111" s="211" t="s">
        <v>10</v>
      </c>
      <c r="C111" s="216" t="s">
        <v>180</v>
      </c>
      <c r="D111" s="222">
        <v>94.7</v>
      </c>
      <c r="E111" s="222">
        <v>20.7</v>
      </c>
      <c r="F111" s="211">
        <v>21</v>
      </c>
      <c r="I111" s="218" t="str">
        <f>IFERROR(HLOOKUP('Air Source Heat Pump(s)'!D$7,'phius_monthly climate data'!$L$3:$CA$83,'phius_monthly climate data'!$CD108,FALSE),"")</f>
        <v/>
      </c>
      <c r="CD111" s="215">
        <v>109</v>
      </c>
    </row>
    <row r="112" spans="1:82" x14ac:dyDescent="0.35">
      <c r="A112" s="211" t="s">
        <v>77</v>
      </c>
      <c r="B112" s="211" t="s">
        <v>10</v>
      </c>
      <c r="C112" s="216" t="s">
        <v>181</v>
      </c>
      <c r="D112" s="222">
        <v>96</v>
      </c>
      <c r="E112" s="222">
        <v>24.5</v>
      </c>
      <c r="F112" s="211">
        <v>18</v>
      </c>
      <c r="I112" s="218" t="str">
        <f>IFERROR(HLOOKUP('Air Source Heat Pump(s)'!D$7,'phius_monthly climate data'!$L$3:$CA$83,'phius_monthly climate data'!$CD109,FALSE),"")</f>
        <v/>
      </c>
      <c r="CD112" s="215">
        <v>110</v>
      </c>
    </row>
    <row r="113" spans="1:82" x14ac:dyDescent="0.35">
      <c r="A113" s="211" t="s">
        <v>77</v>
      </c>
      <c r="B113" s="211" t="s">
        <v>10</v>
      </c>
      <c r="C113" s="216" t="s">
        <v>182</v>
      </c>
      <c r="D113" s="222">
        <v>97</v>
      </c>
      <c r="E113" s="222">
        <v>22.2</v>
      </c>
      <c r="F113" s="211">
        <v>20</v>
      </c>
      <c r="I113" s="218" t="str">
        <f>IFERROR(HLOOKUP('Air Source Heat Pump(s)'!D$7,'phius_monthly climate data'!$L$3:$CA$83,'phius_monthly climate data'!$CD110,FALSE),"")</f>
        <v/>
      </c>
      <c r="CD113" s="215">
        <v>111</v>
      </c>
    </row>
    <row r="114" spans="1:82" x14ac:dyDescent="0.35">
      <c r="A114" s="211" t="s">
        <v>77</v>
      </c>
      <c r="B114" s="211" t="s">
        <v>10</v>
      </c>
      <c r="C114" s="216" t="s">
        <v>183</v>
      </c>
      <c r="D114" s="222">
        <v>95.2</v>
      </c>
      <c r="E114" s="222">
        <v>25.8</v>
      </c>
      <c r="F114" s="211">
        <v>26</v>
      </c>
      <c r="I114" s="218" t="str">
        <f>IFERROR(HLOOKUP('Air Source Heat Pump(s)'!D$7,'phius_monthly climate data'!$L$3:$CA$83,'phius_monthly climate data'!$CD111,FALSE),"")</f>
        <v/>
      </c>
      <c r="CD114" s="215">
        <v>112</v>
      </c>
    </row>
    <row r="115" spans="1:82" x14ac:dyDescent="0.35">
      <c r="A115" s="211" t="s">
        <v>77</v>
      </c>
      <c r="B115" s="211" t="s">
        <v>10</v>
      </c>
      <c r="C115" s="216" t="s">
        <v>184</v>
      </c>
      <c r="D115" s="222">
        <v>91.9</v>
      </c>
      <c r="E115" s="222">
        <v>15.7</v>
      </c>
      <c r="F115" s="211">
        <v>9</v>
      </c>
      <c r="I115" s="218" t="str">
        <f>IFERROR(HLOOKUP('Air Source Heat Pump(s)'!D$7,'phius_monthly climate data'!$L$3:$CA$83,'phius_monthly climate data'!$CD112,FALSE),"")</f>
        <v/>
      </c>
      <c r="CD115" s="215">
        <v>113</v>
      </c>
    </row>
    <row r="116" spans="1:82" x14ac:dyDescent="0.35">
      <c r="A116" s="211" t="s">
        <v>77</v>
      </c>
      <c r="B116" s="211" t="s">
        <v>10</v>
      </c>
      <c r="C116" s="216" t="s">
        <v>185</v>
      </c>
      <c r="D116" s="222">
        <v>93.1</v>
      </c>
      <c r="E116" s="222">
        <v>16.100000000000001</v>
      </c>
      <c r="F116" s="211">
        <v>21</v>
      </c>
      <c r="I116" s="218" t="str">
        <f>IFERROR(HLOOKUP('Air Source Heat Pump(s)'!D$7,'phius_monthly climate data'!$L$3:$CA$83,'phius_monthly climate data'!$CD113,FALSE),"")</f>
        <v/>
      </c>
      <c r="CD116" s="215">
        <v>114</v>
      </c>
    </row>
    <row r="117" spans="1:82" x14ac:dyDescent="0.35">
      <c r="A117" s="211" t="s">
        <v>77</v>
      </c>
      <c r="B117" s="211" t="s">
        <v>10</v>
      </c>
      <c r="C117" s="216" t="s">
        <v>186</v>
      </c>
      <c r="D117" s="222">
        <v>92.8</v>
      </c>
      <c r="E117" s="222">
        <v>16.3</v>
      </c>
      <c r="F117" s="211">
        <v>20</v>
      </c>
      <c r="I117" s="218" t="str">
        <f>IFERROR(HLOOKUP('Air Source Heat Pump(s)'!D$7,'phius_monthly climate data'!$L$3:$CA$83,'phius_monthly climate data'!$CD114,FALSE),"")</f>
        <v/>
      </c>
      <c r="CD117" s="215">
        <v>115</v>
      </c>
    </row>
    <row r="118" spans="1:82" x14ac:dyDescent="0.35">
      <c r="A118" s="211" t="s">
        <v>77</v>
      </c>
      <c r="B118" s="211" t="s">
        <v>10</v>
      </c>
      <c r="C118" s="216" t="s">
        <v>187</v>
      </c>
      <c r="D118" s="222">
        <v>94.7</v>
      </c>
      <c r="E118" s="222">
        <v>25.3</v>
      </c>
      <c r="F118" s="211">
        <v>31</v>
      </c>
      <c r="I118" s="218" t="str">
        <f>IFERROR(HLOOKUP('Air Source Heat Pump(s)'!D$7,'phius_monthly climate data'!$L$3:$CA$83,'phius_monthly climate data'!$CD115,FALSE),"")</f>
        <v/>
      </c>
      <c r="CD118" s="215">
        <v>116</v>
      </c>
    </row>
    <row r="119" spans="1:82" x14ac:dyDescent="0.35">
      <c r="A119" s="211" t="s">
        <v>77</v>
      </c>
      <c r="B119" s="211" t="s">
        <v>10</v>
      </c>
      <c r="C119" s="216" t="s">
        <v>188</v>
      </c>
      <c r="D119" s="222">
        <v>96.8</v>
      </c>
      <c r="E119" s="222">
        <v>27.2</v>
      </c>
      <c r="F119" s="211">
        <v>35</v>
      </c>
      <c r="I119" s="218" t="str">
        <f>IFERROR(HLOOKUP('Air Source Heat Pump(s)'!D$7,'phius_monthly climate data'!$L$3:$CA$83,'phius_monthly climate data'!$CD116,FALSE),"")</f>
        <v/>
      </c>
      <c r="CD119" s="215">
        <v>117</v>
      </c>
    </row>
    <row r="120" spans="1:82" x14ac:dyDescent="0.35">
      <c r="A120" s="211" t="s">
        <v>77</v>
      </c>
      <c r="B120" s="211" t="s">
        <v>10</v>
      </c>
      <c r="C120" s="216" t="s">
        <v>189</v>
      </c>
      <c r="D120" s="222">
        <v>93</v>
      </c>
      <c r="E120" s="222">
        <v>19.2</v>
      </c>
      <c r="F120" s="211">
        <v>26</v>
      </c>
      <c r="I120" s="218" t="str">
        <f>IFERROR(HLOOKUP('Air Source Heat Pump(s)'!D$7,'phius_monthly climate data'!$L$3:$CA$83,'phius_monthly climate data'!$CD117,FALSE),"")</f>
        <v/>
      </c>
      <c r="CD120" s="215">
        <v>118</v>
      </c>
    </row>
    <row r="121" spans="1:82" x14ac:dyDescent="0.35">
      <c r="A121" s="211" t="s">
        <v>77</v>
      </c>
      <c r="B121" s="211" t="s">
        <v>11</v>
      </c>
      <c r="C121" s="216" t="s">
        <v>190</v>
      </c>
      <c r="D121" s="222">
        <v>106.5</v>
      </c>
      <c r="E121" s="222">
        <v>34.9</v>
      </c>
      <c r="F121" s="211">
        <v>45</v>
      </c>
      <c r="I121" s="218" t="str">
        <f>IFERROR(HLOOKUP('Air Source Heat Pump(s)'!D$7,'phius_monthly climate data'!$L$3:$CA$83,'phius_monthly climate data'!$CD118,FALSE),"")</f>
        <v/>
      </c>
      <c r="CD121" s="215">
        <v>119</v>
      </c>
    </row>
    <row r="122" spans="1:82" x14ac:dyDescent="0.35">
      <c r="A122" s="211" t="s">
        <v>77</v>
      </c>
      <c r="B122" s="211" t="s">
        <v>11</v>
      </c>
      <c r="C122" s="216" t="s">
        <v>191</v>
      </c>
      <c r="D122" s="222">
        <v>102.8</v>
      </c>
      <c r="E122" s="222">
        <v>35.5</v>
      </c>
      <c r="F122" s="211">
        <v>46</v>
      </c>
      <c r="I122" s="218" t="str">
        <f>IFERROR(HLOOKUP('Air Source Heat Pump(s)'!D$7,'phius_monthly climate data'!$L$3:$CA$83,'phius_monthly climate data'!$CD119,FALSE),"")</f>
        <v/>
      </c>
      <c r="CD122" s="215">
        <v>120</v>
      </c>
    </row>
    <row r="123" spans="1:82" x14ac:dyDescent="0.35">
      <c r="A123" s="211" t="s">
        <v>77</v>
      </c>
      <c r="B123" s="211" t="s">
        <v>11</v>
      </c>
      <c r="C123" s="216" t="s">
        <v>192</v>
      </c>
      <c r="D123" s="222">
        <v>106.2</v>
      </c>
      <c r="E123" s="222">
        <v>39.299999999999997</v>
      </c>
      <c r="F123" s="211">
        <v>49</v>
      </c>
      <c r="I123" s="218" t="str">
        <f>IFERROR(HLOOKUP('Air Source Heat Pump(s)'!D$7,'phius_monthly climate data'!$L$3:$CA$83,'phius_monthly climate data'!$CD120,FALSE),"")</f>
        <v/>
      </c>
      <c r="CD123" s="215">
        <v>121</v>
      </c>
    </row>
    <row r="124" spans="1:82" x14ac:dyDescent="0.35">
      <c r="A124" s="211" t="s">
        <v>77</v>
      </c>
      <c r="B124" s="211" t="s">
        <v>11</v>
      </c>
      <c r="C124" s="216" t="s">
        <v>193</v>
      </c>
      <c r="D124" s="222">
        <v>97.4</v>
      </c>
      <c r="E124" s="222">
        <v>25.3</v>
      </c>
      <c r="F124" s="211">
        <v>39</v>
      </c>
      <c r="I124" s="218" t="str">
        <f>IFERROR(HLOOKUP('Air Source Heat Pump(s)'!D$7,'phius_monthly climate data'!$L$3:$CA$83,'phius_monthly climate data'!$CD121,FALSE),"")</f>
        <v/>
      </c>
      <c r="CD124" s="215">
        <v>122</v>
      </c>
    </row>
    <row r="125" spans="1:82" x14ac:dyDescent="0.35">
      <c r="A125" s="211" t="s">
        <v>77</v>
      </c>
      <c r="B125" s="211" t="s">
        <v>11</v>
      </c>
      <c r="C125" s="216" t="s">
        <v>194</v>
      </c>
      <c r="D125" s="222">
        <v>83.5</v>
      </c>
      <c r="E125" s="222">
        <v>9.4</v>
      </c>
      <c r="F125" s="211">
        <v>12</v>
      </c>
      <c r="I125" s="218" t="str">
        <f>IFERROR(HLOOKUP('Air Source Heat Pump(s)'!D$7,'phius_monthly climate data'!$L$3:$CA$83,'phius_monthly climate data'!$CD122,FALSE),"")</f>
        <v/>
      </c>
      <c r="CD125" s="215">
        <v>123</v>
      </c>
    </row>
    <row r="126" spans="1:82" x14ac:dyDescent="0.35">
      <c r="A126" s="211" t="s">
        <v>77</v>
      </c>
      <c r="B126" s="211" t="s">
        <v>11</v>
      </c>
      <c r="C126" s="216" t="s">
        <v>195</v>
      </c>
      <c r="D126" s="222">
        <v>87.3</v>
      </c>
      <c r="E126" s="222">
        <v>4.9000000000000004</v>
      </c>
      <c r="F126" s="211">
        <v>24</v>
      </c>
      <c r="I126" s="218" t="str">
        <f>IFERROR(HLOOKUP('Air Source Heat Pump(s)'!D$7,'phius_monthly climate data'!$L$3:$CA$83,'phius_monthly climate data'!$CD123,FALSE),"")</f>
        <v/>
      </c>
      <c r="CD126" s="215">
        <v>124</v>
      </c>
    </row>
    <row r="127" spans="1:82" x14ac:dyDescent="0.35">
      <c r="A127" s="211" t="s">
        <v>77</v>
      </c>
      <c r="B127" s="211" t="s">
        <v>11</v>
      </c>
      <c r="C127" s="216" t="s">
        <v>196</v>
      </c>
      <c r="D127" s="222">
        <v>99.5</v>
      </c>
      <c r="E127" s="222">
        <v>26.9</v>
      </c>
      <c r="F127" s="211">
        <v>34</v>
      </c>
      <c r="I127" s="218" t="str">
        <f>IFERROR(HLOOKUP('Air Source Heat Pump(s)'!D$7,'phius_monthly climate data'!$L$3:$CA$83,'phius_monthly climate data'!$CD124,FALSE),"")</f>
        <v/>
      </c>
      <c r="CD127" s="215">
        <v>125</v>
      </c>
    </row>
    <row r="128" spans="1:82" x14ac:dyDescent="0.35">
      <c r="A128" s="211" t="s">
        <v>77</v>
      </c>
      <c r="B128" s="211" t="s">
        <v>11</v>
      </c>
      <c r="C128" s="216" t="s">
        <v>197</v>
      </c>
      <c r="D128" s="222">
        <v>108.6</v>
      </c>
      <c r="E128" s="222">
        <v>37.299999999999997</v>
      </c>
      <c r="F128" s="211">
        <v>48</v>
      </c>
      <c r="I128" s="218" t="str">
        <f>IFERROR(HLOOKUP('Air Source Heat Pump(s)'!D$7,'phius_monthly climate data'!$L$3:$CA$83,'phius_monthly climate data'!$CD125,FALSE),"")</f>
        <v/>
      </c>
      <c r="CD128" s="215">
        <v>126</v>
      </c>
    </row>
    <row r="129" spans="1:82" x14ac:dyDescent="0.35">
      <c r="A129" s="211" t="s">
        <v>77</v>
      </c>
      <c r="B129" s="211" t="s">
        <v>11</v>
      </c>
      <c r="C129" s="216" t="s">
        <v>198</v>
      </c>
      <c r="D129" s="222">
        <v>98.1</v>
      </c>
      <c r="E129" s="222">
        <v>24.8</v>
      </c>
      <c r="F129" s="211">
        <v>31</v>
      </c>
      <c r="I129" s="218" t="str">
        <f>IFERROR(HLOOKUP('Air Source Heat Pump(s)'!D$7,'phius_monthly climate data'!$L$3:$CA$83,'phius_monthly climate data'!$CD126,FALSE),"")</f>
        <v/>
      </c>
      <c r="CD129" s="215">
        <v>127</v>
      </c>
    </row>
    <row r="130" spans="1:82" x14ac:dyDescent="0.35">
      <c r="A130" s="211" t="s">
        <v>77</v>
      </c>
      <c r="B130" s="211" t="s">
        <v>11</v>
      </c>
      <c r="C130" s="216" t="s">
        <v>199</v>
      </c>
      <c r="D130" s="222">
        <v>108.3</v>
      </c>
      <c r="E130" s="222">
        <v>41.8</v>
      </c>
      <c r="F130" s="211">
        <v>47</v>
      </c>
      <c r="I130" s="218" t="str">
        <f>IFERROR(HLOOKUP('Air Source Heat Pump(s)'!D$7,'phius_monthly climate data'!$L$3:$CA$83,'phius_monthly climate data'!$CD127,FALSE),"")</f>
        <v/>
      </c>
      <c r="CD130" s="215">
        <v>128</v>
      </c>
    </row>
    <row r="131" spans="1:82" x14ac:dyDescent="0.35">
      <c r="A131" s="211" t="s">
        <v>77</v>
      </c>
      <c r="B131" s="211" t="s">
        <v>11</v>
      </c>
      <c r="C131" s="216" t="s">
        <v>200</v>
      </c>
      <c r="D131" s="222">
        <v>92.1</v>
      </c>
      <c r="E131" s="222">
        <v>20.8</v>
      </c>
      <c r="F131" s="211">
        <v>29</v>
      </c>
      <c r="I131" s="218" t="str">
        <f>IFERROR(HLOOKUP('Air Source Heat Pump(s)'!D$7,'phius_monthly climate data'!$L$3:$CA$83,'phius_monthly climate data'!$CD128,FALSE),"")</f>
        <v/>
      </c>
      <c r="CD131" s="215">
        <v>129</v>
      </c>
    </row>
    <row r="132" spans="1:82" x14ac:dyDescent="0.35">
      <c r="A132" s="211" t="s">
        <v>77</v>
      </c>
      <c r="B132" s="211" t="s">
        <v>11</v>
      </c>
      <c r="C132" s="216" t="s">
        <v>201</v>
      </c>
      <c r="D132" s="222">
        <v>102.2</v>
      </c>
      <c r="E132" s="222">
        <v>28.5</v>
      </c>
      <c r="F132" s="211">
        <v>39</v>
      </c>
      <c r="CD132" s="215">
        <v>130</v>
      </c>
    </row>
    <row r="133" spans="1:82" x14ac:dyDescent="0.35">
      <c r="A133" s="211" t="s">
        <v>77</v>
      </c>
      <c r="B133" s="211" t="s">
        <v>11</v>
      </c>
      <c r="C133" s="216" t="s">
        <v>202</v>
      </c>
      <c r="D133" s="222">
        <v>106.4</v>
      </c>
      <c r="E133" s="222">
        <v>38.700000000000003</v>
      </c>
      <c r="F133" s="211">
        <v>49</v>
      </c>
      <c r="I133" s="218" t="str">
        <f>IFERROR(HLOOKUP('Air Source Heat Pump(s)'!D$7,'phius_monthly climate data'!$L$3:$CA$83,'phius_monthly climate data'!$CD129,FALSE),"")</f>
        <v/>
      </c>
      <c r="CD133" s="215">
        <v>131</v>
      </c>
    </row>
    <row r="134" spans="1:82" x14ac:dyDescent="0.35">
      <c r="A134" s="211" t="s">
        <v>77</v>
      </c>
      <c r="B134" s="211" t="s">
        <v>11</v>
      </c>
      <c r="C134" s="216" t="s">
        <v>1230</v>
      </c>
      <c r="D134" s="222">
        <v>87.7</v>
      </c>
      <c r="E134" s="222">
        <v>13.9</v>
      </c>
      <c r="F134" s="211">
        <v>21.56</v>
      </c>
      <c r="I134" s="218" t="str">
        <f>IFERROR(HLOOKUP('Air Source Heat Pump(s)'!D$7,'phius_monthly climate data'!$L$3:$CA$83,'phius_monthly climate data'!$CD130,FALSE),"")</f>
        <v/>
      </c>
      <c r="CD134" s="215">
        <v>132</v>
      </c>
    </row>
    <row r="135" spans="1:82" x14ac:dyDescent="0.35">
      <c r="A135" s="211" t="s">
        <v>77</v>
      </c>
      <c r="B135" s="211" t="s">
        <v>11</v>
      </c>
      <c r="C135" s="216" t="s">
        <v>203</v>
      </c>
      <c r="D135" s="222">
        <v>103.6</v>
      </c>
      <c r="E135" s="222">
        <v>34.4</v>
      </c>
      <c r="F135" s="211">
        <v>44</v>
      </c>
      <c r="I135" s="218" t="str">
        <f>IFERROR(HLOOKUP('Air Source Heat Pump(s)'!D$7,'phius_monthly climate data'!$L$3:$CA$83,'phius_monthly climate data'!$CD131,FALSE),"")</f>
        <v/>
      </c>
      <c r="CD135" s="215">
        <v>133</v>
      </c>
    </row>
    <row r="136" spans="1:82" x14ac:dyDescent="0.35">
      <c r="A136" s="211" t="s">
        <v>77</v>
      </c>
      <c r="B136" s="211" t="s">
        <v>11</v>
      </c>
      <c r="C136" s="216" t="s">
        <v>204</v>
      </c>
      <c r="D136" s="222">
        <v>95.5</v>
      </c>
      <c r="E136" s="222">
        <v>15</v>
      </c>
      <c r="F136" s="211">
        <v>26</v>
      </c>
      <c r="I136" s="218" t="str">
        <f>IFERROR(HLOOKUP('Air Source Heat Pump(s)'!D$7,'phius_monthly climate data'!$L$3:$CA$83,'phius_monthly climate data'!$CD132,FALSE),"")</f>
        <v/>
      </c>
      <c r="CD136" s="215">
        <v>134</v>
      </c>
    </row>
    <row r="137" spans="1:82" x14ac:dyDescent="0.35">
      <c r="A137" s="211" t="s">
        <v>77</v>
      </c>
      <c r="B137" s="211" t="s">
        <v>11</v>
      </c>
      <c r="C137" s="216" t="s">
        <v>205</v>
      </c>
      <c r="D137" s="222">
        <v>108.9</v>
      </c>
      <c r="E137" s="222">
        <v>44.8</v>
      </c>
      <c r="F137" s="211">
        <v>53</v>
      </c>
      <c r="I137" s="218" t="str">
        <f>IFERROR(HLOOKUP('Air Source Heat Pump(s)'!D$7,'phius_monthly climate data'!$L$3:$CA$83,'phius_monthly climate data'!$CD133,FALSE),"")</f>
        <v/>
      </c>
      <c r="CD137" s="215">
        <v>135</v>
      </c>
    </row>
    <row r="138" spans="1:82" x14ac:dyDescent="0.35">
      <c r="A138" s="211" t="s">
        <v>77</v>
      </c>
      <c r="B138" s="211" t="s">
        <v>11</v>
      </c>
      <c r="C138" s="216" t="s">
        <v>206</v>
      </c>
      <c r="D138" s="222">
        <v>108.8</v>
      </c>
      <c r="E138" s="222">
        <v>44.7</v>
      </c>
      <c r="F138" s="211">
        <v>53</v>
      </c>
      <c r="I138" s="218" t="str">
        <f>IFERROR(HLOOKUP('Air Source Heat Pump(s)'!D$7,'phius_monthly climate data'!$L$3:$CA$83,'phius_monthly climate data'!$CD134,FALSE),"")</f>
        <v/>
      </c>
      <c r="CD138" s="215">
        <v>136</v>
      </c>
    </row>
    <row r="139" spans="1:82" x14ac:dyDescent="0.35">
      <c r="A139" s="211" t="s">
        <v>72</v>
      </c>
      <c r="B139" s="211" t="s">
        <v>12</v>
      </c>
      <c r="C139" s="216" t="s">
        <v>207</v>
      </c>
      <c r="D139" s="222">
        <v>81.900000000000006</v>
      </c>
      <c r="E139" s="222">
        <v>22.9</v>
      </c>
      <c r="F139" s="211">
        <v>26</v>
      </c>
      <c r="I139" s="218" t="str">
        <f>IFERROR(HLOOKUP('Air Source Heat Pump(s)'!D$7,'phius_monthly climate data'!$L$3:$CA$83,'phius_monthly climate data'!$CD135,FALSE),"")</f>
        <v/>
      </c>
      <c r="CD139" s="215">
        <v>137</v>
      </c>
    </row>
    <row r="140" spans="1:82" x14ac:dyDescent="0.35">
      <c r="A140" s="211" t="s">
        <v>72</v>
      </c>
      <c r="B140" s="211" t="s">
        <v>12</v>
      </c>
      <c r="C140" s="216" t="s">
        <v>208</v>
      </c>
      <c r="D140" s="222">
        <v>82.8</v>
      </c>
      <c r="E140" s="222">
        <v>23.1</v>
      </c>
      <c r="F140" s="211">
        <v>20</v>
      </c>
      <c r="I140" s="218" t="str">
        <f>IFERROR(HLOOKUP('Air Source Heat Pump(s)'!D$7,'phius_monthly climate data'!$L$3:$CA$83,'phius_monthly climate data'!$CD136,FALSE),"")</f>
        <v/>
      </c>
      <c r="CD140" s="215">
        <v>138</v>
      </c>
    </row>
    <row r="141" spans="1:82" x14ac:dyDescent="0.35">
      <c r="A141" s="211" t="s">
        <v>72</v>
      </c>
      <c r="B141" s="211" t="s">
        <v>12</v>
      </c>
      <c r="C141" s="216" t="s">
        <v>209</v>
      </c>
      <c r="D141" s="222">
        <v>72.099999999999994</v>
      </c>
      <c r="E141" s="222">
        <v>32.9</v>
      </c>
      <c r="F141" s="211">
        <v>26</v>
      </c>
      <c r="I141" s="218" t="str">
        <f>IFERROR(HLOOKUP('Air Source Heat Pump(s)'!D$7,'phius_monthly climate data'!$L$3:$CA$83,'phius_monthly climate data'!$CD137,FALSE),"")</f>
        <v/>
      </c>
      <c r="CD141" s="215">
        <v>139</v>
      </c>
    </row>
    <row r="142" spans="1:82" x14ac:dyDescent="0.35">
      <c r="A142" s="211" t="s">
        <v>72</v>
      </c>
      <c r="B142" s="211" t="s">
        <v>12</v>
      </c>
      <c r="C142" s="216" t="s">
        <v>210</v>
      </c>
      <c r="D142" s="222">
        <v>76.7</v>
      </c>
      <c r="E142" s="222">
        <v>27.1</v>
      </c>
      <c r="F142" s="211">
        <v>30</v>
      </c>
      <c r="I142" s="218" t="str">
        <f>IFERROR(HLOOKUP('Air Source Heat Pump(s)'!D$7,'phius_monthly climate data'!$L$3:$CA$83,'phius_monthly climate data'!$CD138,FALSE),"")</f>
        <v/>
      </c>
      <c r="CD142" s="215">
        <v>140</v>
      </c>
    </row>
    <row r="143" spans="1:82" x14ac:dyDescent="0.35">
      <c r="A143" s="211" t="s">
        <v>72</v>
      </c>
      <c r="B143" s="211" t="s">
        <v>12</v>
      </c>
      <c r="C143" s="216" t="s">
        <v>211</v>
      </c>
      <c r="D143" s="222">
        <v>85.3</v>
      </c>
      <c r="E143" s="222">
        <v>-4.0999999999999996</v>
      </c>
      <c r="F143" s="211">
        <v>1</v>
      </c>
      <c r="I143" s="218" t="str">
        <f>IFERROR(HLOOKUP('Air Source Heat Pump(s)'!D144,'phius_monthly climate data'!$L$3:$CA$83,'phius_monthly climate data'!$CD139,FALSE),"")</f>
        <v/>
      </c>
      <c r="CD143" s="215">
        <v>141</v>
      </c>
    </row>
    <row r="144" spans="1:82" x14ac:dyDescent="0.35">
      <c r="A144" s="211" t="s">
        <v>72</v>
      </c>
      <c r="B144" s="211" t="s">
        <v>12</v>
      </c>
      <c r="C144" s="216" t="s">
        <v>212</v>
      </c>
      <c r="D144" s="222">
        <v>69.2</v>
      </c>
      <c r="E144" s="222">
        <v>34.1</v>
      </c>
      <c r="F144" s="211">
        <v>29</v>
      </c>
      <c r="I144" s="218" t="str">
        <f>IFERROR(HLOOKUP('Air Source Heat Pump(s)'!D145,'phius_monthly climate data'!$L$3:$CA$83,'phius_monthly climate data'!$CD140,FALSE),"")</f>
        <v/>
      </c>
      <c r="CD144" s="215">
        <v>142</v>
      </c>
    </row>
    <row r="145" spans="1:82" x14ac:dyDescent="0.35">
      <c r="A145" s="211" t="s">
        <v>72</v>
      </c>
      <c r="B145" s="211" t="s">
        <v>12</v>
      </c>
      <c r="C145" s="216" t="s">
        <v>213</v>
      </c>
      <c r="D145" s="222">
        <v>72</v>
      </c>
      <c r="E145" s="222">
        <v>32.299999999999997</v>
      </c>
      <c r="F145" s="211">
        <v>26</v>
      </c>
      <c r="I145" s="218" t="str">
        <f>IFERROR(HLOOKUP('Air Source Heat Pump(s)'!D146,'phius_monthly climate data'!$L$3:$CA$83,'phius_monthly climate data'!$CD141,FALSE),"")</f>
        <v/>
      </c>
      <c r="CD145" s="215">
        <v>143</v>
      </c>
    </row>
    <row r="146" spans="1:82" x14ac:dyDescent="0.35">
      <c r="A146" s="211" t="s">
        <v>72</v>
      </c>
      <c r="B146" s="211" t="s">
        <v>12</v>
      </c>
      <c r="C146" s="216" t="s">
        <v>214</v>
      </c>
      <c r="D146" s="222">
        <v>68.7</v>
      </c>
      <c r="E146" s="222">
        <v>30.7</v>
      </c>
      <c r="F146" s="211">
        <v>30</v>
      </c>
      <c r="I146" s="218" t="str">
        <f>IFERROR(HLOOKUP('Air Source Heat Pump(s)'!D147,'phius_monthly climate data'!$L$3:$CA$83,'phius_monthly climate data'!$CD142,FALSE),"")</f>
        <v/>
      </c>
      <c r="CD146" s="215">
        <v>144</v>
      </c>
    </row>
    <row r="147" spans="1:82" x14ac:dyDescent="0.35">
      <c r="A147" s="211" t="s">
        <v>72</v>
      </c>
      <c r="B147" s="211" t="s">
        <v>12</v>
      </c>
      <c r="C147" s="216" t="s">
        <v>215</v>
      </c>
      <c r="D147" s="222">
        <v>78.900000000000006</v>
      </c>
      <c r="E147" s="222">
        <v>-28.3</v>
      </c>
      <c r="F147" s="211">
        <v>-29</v>
      </c>
      <c r="I147" s="218" t="str">
        <f>IFERROR(HLOOKUP('Air Source Heat Pump(s)'!D148,'phius_monthly climate data'!$L$3:$CA$83,'phius_monthly climate data'!$CD143,FALSE),"")</f>
        <v/>
      </c>
      <c r="CD147" s="215">
        <v>145</v>
      </c>
    </row>
    <row r="148" spans="1:82" x14ac:dyDescent="0.35">
      <c r="A148" s="211" t="s">
        <v>72</v>
      </c>
      <c r="B148" s="211" t="s">
        <v>12</v>
      </c>
      <c r="C148" s="216" t="s">
        <v>216</v>
      </c>
      <c r="D148" s="222">
        <v>76.099999999999994</v>
      </c>
      <c r="E148" s="222">
        <v>-21.2</v>
      </c>
      <c r="F148" s="211">
        <v>-20</v>
      </c>
      <c r="I148" s="218" t="str">
        <f>IFERROR(HLOOKUP('Air Source Heat Pump(s)'!D149,'phius_monthly climate data'!$L$3:$CA$83,'phius_monthly climate data'!$CD144,FALSE),"")</f>
        <v/>
      </c>
      <c r="CD148" s="215">
        <v>146</v>
      </c>
    </row>
    <row r="149" spans="1:82" x14ac:dyDescent="0.35">
      <c r="A149" s="211" t="s">
        <v>72</v>
      </c>
      <c r="B149" s="211" t="s">
        <v>12</v>
      </c>
      <c r="C149" s="216" t="s">
        <v>217</v>
      </c>
      <c r="D149" s="222">
        <v>89.5</v>
      </c>
      <c r="E149" s="222">
        <v>4</v>
      </c>
      <c r="F149" s="211">
        <v>8</v>
      </c>
      <c r="I149" s="218" t="str">
        <f>IFERROR(HLOOKUP('Air Source Heat Pump(s)'!D150,'phius_monthly climate data'!$L$3:$CA$83,'phius_monthly climate data'!$CD145,FALSE),"")</f>
        <v/>
      </c>
      <c r="CD149" s="215">
        <v>147</v>
      </c>
    </row>
    <row r="150" spans="1:82" x14ac:dyDescent="0.35">
      <c r="A150" s="211" t="s">
        <v>72</v>
      </c>
      <c r="B150" s="211" t="s">
        <v>12</v>
      </c>
      <c r="C150" s="216" t="s">
        <v>218</v>
      </c>
      <c r="D150" s="222">
        <v>88.1</v>
      </c>
      <c r="E150" s="222">
        <v>7.3</v>
      </c>
      <c r="F150" s="211">
        <v>10</v>
      </c>
      <c r="I150" s="218" t="str">
        <f>IFERROR(HLOOKUP('Air Source Heat Pump(s)'!D151,'phius_monthly climate data'!$L$3:$CA$83,'phius_monthly climate data'!$CD146,FALSE),"")</f>
        <v/>
      </c>
      <c r="CD150" s="215">
        <v>148</v>
      </c>
    </row>
    <row r="151" spans="1:82" x14ac:dyDescent="0.35">
      <c r="A151" s="211" t="s">
        <v>72</v>
      </c>
      <c r="B151" s="211" t="s">
        <v>12</v>
      </c>
      <c r="C151" s="216" t="s">
        <v>219</v>
      </c>
      <c r="D151" s="222">
        <v>78.2</v>
      </c>
      <c r="E151" s="222">
        <v>25.6</v>
      </c>
      <c r="F151" s="211">
        <v>28</v>
      </c>
      <c r="I151" s="218" t="str">
        <f>IFERROR(HLOOKUP('Air Source Heat Pump(s)'!D152,'phius_monthly climate data'!$L$3:$CA$83,'phius_monthly climate data'!$CD147,FALSE),"")</f>
        <v/>
      </c>
      <c r="CD151" s="215">
        <v>149</v>
      </c>
    </row>
    <row r="152" spans="1:82" x14ac:dyDescent="0.35">
      <c r="A152" s="211" t="s">
        <v>72</v>
      </c>
      <c r="B152" s="211" t="s">
        <v>12</v>
      </c>
      <c r="C152" s="216" t="s">
        <v>220</v>
      </c>
      <c r="D152" s="222">
        <v>75.900000000000006</v>
      </c>
      <c r="E152" s="222">
        <v>30.5</v>
      </c>
      <c r="F152" s="211">
        <v>23</v>
      </c>
      <c r="I152" s="218" t="str">
        <f>IFERROR(HLOOKUP('Air Source Heat Pump(s)'!D153,'phius_monthly climate data'!$L$3:$CA$83,'phius_monthly climate data'!$CD148,FALSE),"")</f>
        <v/>
      </c>
      <c r="CD152" s="215">
        <v>150</v>
      </c>
    </row>
    <row r="153" spans="1:82" x14ac:dyDescent="0.35">
      <c r="A153" s="211" t="s">
        <v>72</v>
      </c>
      <c r="B153" s="211" t="s">
        <v>12</v>
      </c>
      <c r="C153" s="216" t="s">
        <v>221</v>
      </c>
      <c r="D153" s="222">
        <v>87.8</v>
      </c>
      <c r="E153" s="222">
        <v>12.7</v>
      </c>
      <c r="F153" s="211">
        <v>17</v>
      </c>
      <c r="I153" s="218" t="str">
        <f>IFERROR(HLOOKUP('Air Source Heat Pump(s)'!D154,'phius_monthly climate data'!$L$3:$CA$83,'phius_monthly climate data'!$CD149,FALSE),"")</f>
        <v/>
      </c>
      <c r="CD153" s="215">
        <v>151</v>
      </c>
    </row>
    <row r="154" spans="1:82" x14ac:dyDescent="0.35">
      <c r="A154" s="211" t="s">
        <v>72</v>
      </c>
      <c r="B154" s="211" t="s">
        <v>12</v>
      </c>
      <c r="C154" s="216" t="s">
        <v>222</v>
      </c>
      <c r="D154" s="222">
        <v>82.7</v>
      </c>
      <c r="E154" s="222">
        <v>23.5</v>
      </c>
      <c r="F154" s="211">
        <v>18</v>
      </c>
      <c r="I154" s="218" t="str">
        <f>IFERROR(HLOOKUP('Air Source Heat Pump(s)'!D155,'phius_monthly climate data'!$L$3:$CA$83,'phius_monthly climate data'!$CD150,FALSE),"")</f>
        <v/>
      </c>
      <c r="CD154" s="215">
        <v>152</v>
      </c>
    </row>
    <row r="155" spans="1:82" x14ac:dyDescent="0.35">
      <c r="A155" s="211" t="s">
        <v>72</v>
      </c>
      <c r="B155" s="211" t="s">
        <v>12</v>
      </c>
      <c r="C155" s="216" t="s">
        <v>223</v>
      </c>
      <c r="D155" s="222">
        <v>78.7</v>
      </c>
      <c r="E155" s="222">
        <v>-13.7</v>
      </c>
      <c r="F155" s="211">
        <v>-10</v>
      </c>
      <c r="I155" s="218" t="str">
        <f>IFERROR(HLOOKUP('Air Source Heat Pump(s)'!D156,'phius_monthly climate data'!$L$3:$CA$83,'phius_monthly climate data'!$CD151,FALSE),"")</f>
        <v/>
      </c>
      <c r="CD155" s="215">
        <v>153</v>
      </c>
    </row>
    <row r="156" spans="1:82" x14ac:dyDescent="0.35">
      <c r="A156" s="211" t="s">
        <v>72</v>
      </c>
      <c r="B156" s="211" t="s">
        <v>12</v>
      </c>
      <c r="C156" s="216" t="s">
        <v>224</v>
      </c>
      <c r="D156" s="222">
        <v>77.400000000000006</v>
      </c>
      <c r="E156" s="222">
        <v>-8.6</v>
      </c>
      <c r="F156" s="211">
        <v>-4</v>
      </c>
      <c r="I156" s="218" t="str">
        <f>IFERROR(HLOOKUP('Air Source Heat Pump(s)'!D157,'phius_monthly climate data'!$L$3:$CA$83,'phius_monthly climate data'!$CD152,FALSE),"")</f>
        <v/>
      </c>
      <c r="CD156" s="215">
        <v>154</v>
      </c>
    </row>
    <row r="157" spans="1:82" x14ac:dyDescent="0.35">
      <c r="A157" s="211" t="s">
        <v>72</v>
      </c>
      <c r="B157" s="211" t="s">
        <v>12</v>
      </c>
      <c r="C157" s="216" t="s">
        <v>225</v>
      </c>
      <c r="D157" s="222">
        <v>87.9</v>
      </c>
      <c r="E157" s="222">
        <v>12.6</v>
      </c>
      <c r="F157" s="211">
        <v>9</v>
      </c>
      <c r="I157" s="218" t="str">
        <f>IFERROR(HLOOKUP('Air Source Heat Pump(s)'!D158,'phius_monthly climate data'!$L$3:$CA$83,'phius_monthly climate data'!$CD153,FALSE),"")</f>
        <v/>
      </c>
      <c r="CD157" s="215">
        <v>155</v>
      </c>
    </row>
    <row r="158" spans="1:82" x14ac:dyDescent="0.35">
      <c r="A158" s="211" t="s">
        <v>72</v>
      </c>
      <c r="B158" s="211" t="s">
        <v>12</v>
      </c>
      <c r="C158" s="216" t="s">
        <v>226</v>
      </c>
      <c r="D158" s="222">
        <v>74.5</v>
      </c>
      <c r="E158" s="222">
        <v>25.8</v>
      </c>
      <c r="F158" s="211">
        <v>27</v>
      </c>
      <c r="I158" s="218" t="str">
        <f>IFERROR(HLOOKUP('Air Source Heat Pump(s)'!D159,'phius_monthly climate data'!$L$3:$CA$83,'phius_monthly climate data'!$CD154,FALSE),"")</f>
        <v/>
      </c>
      <c r="CD158" s="215">
        <v>156</v>
      </c>
    </row>
    <row r="159" spans="1:82" x14ac:dyDescent="0.35">
      <c r="A159" s="211" t="s">
        <v>72</v>
      </c>
      <c r="B159" s="211" t="s">
        <v>12</v>
      </c>
      <c r="C159" s="216" t="s">
        <v>227</v>
      </c>
      <c r="D159" s="222">
        <v>87.5</v>
      </c>
      <c r="E159" s="222">
        <v>8.1999999999999993</v>
      </c>
      <c r="F159" s="211">
        <v>4</v>
      </c>
      <c r="I159" s="218" t="str">
        <f>IFERROR(HLOOKUP('Air Source Heat Pump(s)'!D160,'phius_monthly climate data'!$L$3:$CA$83,'phius_monthly climate data'!$CD155,FALSE),"")</f>
        <v/>
      </c>
      <c r="CD159" s="215">
        <v>157</v>
      </c>
    </row>
    <row r="160" spans="1:82" x14ac:dyDescent="0.35">
      <c r="A160" s="211" t="s">
        <v>72</v>
      </c>
      <c r="B160" s="211" t="s">
        <v>12</v>
      </c>
      <c r="C160" s="216" t="s">
        <v>228</v>
      </c>
      <c r="D160" s="222">
        <v>76.3</v>
      </c>
      <c r="E160" s="222">
        <v>27.9</v>
      </c>
      <c r="F160" s="211">
        <v>30</v>
      </c>
      <c r="I160" s="218" t="str">
        <f>IFERROR(HLOOKUP('Air Source Heat Pump(s)'!D161,'phius_monthly climate data'!$L$3:$CA$83,'phius_monthly climate data'!$CD156,FALSE),"")</f>
        <v/>
      </c>
      <c r="CD160" s="215">
        <v>158</v>
      </c>
    </row>
    <row r="161" spans="1:82" x14ac:dyDescent="0.35">
      <c r="A161" s="211" t="s">
        <v>72</v>
      </c>
      <c r="B161" s="211" t="s">
        <v>12</v>
      </c>
      <c r="C161" s="216" t="s">
        <v>229</v>
      </c>
      <c r="D161" s="222">
        <v>79.900000000000006</v>
      </c>
      <c r="E161" s="222">
        <v>29.1</v>
      </c>
      <c r="F161" s="211">
        <v>25</v>
      </c>
      <c r="I161" s="218" t="str">
        <f>IFERROR(HLOOKUP('Air Source Heat Pump(s)'!D162,'phius_monthly climate data'!$L$3:$CA$83,'phius_monthly climate data'!$CD157,FALSE),"")</f>
        <v/>
      </c>
      <c r="CD161" s="215">
        <v>159</v>
      </c>
    </row>
    <row r="162" spans="1:82" x14ac:dyDescent="0.35">
      <c r="A162" s="211" t="s">
        <v>72</v>
      </c>
      <c r="B162" s="211" t="s">
        <v>12</v>
      </c>
      <c r="C162" s="216" t="s">
        <v>230</v>
      </c>
      <c r="D162" s="222">
        <v>77</v>
      </c>
      <c r="E162" s="222">
        <v>30.9</v>
      </c>
      <c r="F162" s="211">
        <v>26</v>
      </c>
      <c r="I162" s="218" t="str">
        <f>IFERROR(HLOOKUP('Air Source Heat Pump(s)'!D163,'phius_monthly climate data'!$L$3:$CA$83,'phius_monthly climate data'!$CD158,FALSE),"")</f>
        <v/>
      </c>
      <c r="CD162" s="215">
        <v>160</v>
      </c>
    </row>
    <row r="163" spans="1:82" x14ac:dyDescent="0.35">
      <c r="A163" s="211" t="s">
        <v>72</v>
      </c>
      <c r="B163" s="211" t="s">
        <v>12</v>
      </c>
      <c r="C163" s="216" t="s">
        <v>231</v>
      </c>
      <c r="D163" s="222">
        <v>77.3</v>
      </c>
      <c r="E163" s="222">
        <v>26.2</v>
      </c>
      <c r="F163" s="211">
        <v>22</v>
      </c>
      <c r="I163" s="218" t="str">
        <f>IFERROR(HLOOKUP('Air Source Heat Pump(s)'!D164,'phius_monthly climate data'!$L$3:$CA$83,'phius_monthly climate data'!$CD159,FALSE),"")</f>
        <v/>
      </c>
      <c r="CD163" s="215">
        <v>161</v>
      </c>
    </row>
    <row r="164" spans="1:82" x14ac:dyDescent="0.35">
      <c r="A164" s="211" t="s">
        <v>72</v>
      </c>
      <c r="B164" s="211" t="s">
        <v>12</v>
      </c>
      <c r="C164" s="216" t="s">
        <v>232</v>
      </c>
      <c r="D164" s="222">
        <v>83.3</v>
      </c>
      <c r="E164" s="222">
        <v>10</v>
      </c>
      <c r="F164" s="211">
        <v>10</v>
      </c>
      <c r="I164" s="218" t="str">
        <f>IFERROR(HLOOKUP('Air Source Heat Pump(s)'!D165,'phius_monthly climate data'!$L$3:$CA$83,'phius_monthly climate data'!$CD160,FALSE),"")</f>
        <v/>
      </c>
      <c r="CD164" s="215">
        <v>162</v>
      </c>
    </row>
    <row r="165" spans="1:82" x14ac:dyDescent="0.35">
      <c r="A165" s="211" t="s">
        <v>72</v>
      </c>
      <c r="B165" s="211" t="s">
        <v>12</v>
      </c>
      <c r="C165" s="216" t="s">
        <v>233</v>
      </c>
      <c r="D165" s="222">
        <v>73.8</v>
      </c>
      <c r="E165" s="222">
        <v>26.7</v>
      </c>
      <c r="F165" s="211">
        <v>23</v>
      </c>
      <c r="I165" s="218" t="str">
        <f>IFERROR(HLOOKUP('Air Source Heat Pump(s)'!D166,'phius_monthly climate data'!$L$3:$CA$83,'phius_monthly climate data'!$CD161,FALSE),"")</f>
        <v/>
      </c>
      <c r="CD165" s="215">
        <v>163</v>
      </c>
    </row>
    <row r="166" spans="1:82" x14ac:dyDescent="0.35">
      <c r="A166" s="211" t="s">
        <v>83</v>
      </c>
      <c r="B166" s="211" t="s">
        <v>13</v>
      </c>
      <c r="C166" s="216" t="s">
        <v>234</v>
      </c>
      <c r="D166" s="222">
        <v>95.4</v>
      </c>
      <c r="E166" s="222">
        <v>57</v>
      </c>
      <c r="F166" s="211">
        <v>58</v>
      </c>
      <c r="I166" s="218" t="str">
        <f>IFERROR(HLOOKUP('Air Source Heat Pump(s)'!D167,'phius_monthly climate data'!$L$3:$CA$83,'phius_monthly climate data'!$CD162,FALSE),"")</f>
        <v/>
      </c>
      <c r="CD166" s="215">
        <v>164</v>
      </c>
    </row>
    <row r="167" spans="1:82" x14ac:dyDescent="0.35">
      <c r="A167" s="211" t="s">
        <v>77</v>
      </c>
      <c r="B167" s="211" t="s">
        <v>14</v>
      </c>
      <c r="C167" s="216" t="s">
        <v>235</v>
      </c>
      <c r="D167" s="222">
        <v>91.2</v>
      </c>
      <c r="E167" s="222">
        <v>9.6999999999999993</v>
      </c>
      <c r="F167" s="211">
        <v>16</v>
      </c>
      <c r="I167" s="218" t="str">
        <f>IFERROR(HLOOKUP('Air Source Heat Pump(s)'!D168,'phius_monthly climate data'!$L$3:$CA$83,'phius_monthly climate data'!$CD163,FALSE),"")</f>
        <v/>
      </c>
      <c r="CD167" s="215">
        <v>165</v>
      </c>
    </row>
    <row r="168" spans="1:82" x14ac:dyDescent="0.35">
      <c r="A168" s="211" t="s">
        <v>77</v>
      </c>
      <c r="B168" s="211" t="s">
        <v>14</v>
      </c>
      <c r="C168" s="216" t="s">
        <v>236</v>
      </c>
      <c r="D168" s="222">
        <v>67.7</v>
      </c>
      <c r="E168" s="222">
        <v>32.9</v>
      </c>
      <c r="F168" s="211">
        <v>41</v>
      </c>
      <c r="I168" s="218" t="str">
        <f>IFERROR(HLOOKUP('Air Source Heat Pump(s)'!D169,'phius_monthly climate data'!$L$3:$CA$83,'phius_monthly climate data'!$CD164,FALSE),"")</f>
        <v/>
      </c>
      <c r="CD168" s="215">
        <v>166</v>
      </c>
    </row>
    <row r="169" spans="1:82" x14ac:dyDescent="0.35">
      <c r="A169" s="211" t="s">
        <v>77</v>
      </c>
      <c r="B169" s="211" t="s">
        <v>14</v>
      </c>
      <c r="C169" s="216" t="s">
        <v>237</v>
      </c>
      <c r="D169" s="222">
        <v>100.4</v>
      </c>
      <c r="E169" s="222">
        <v>35.299999999999997</v>
      </c>
      <c r="F169" s="211">
        <v>44</v>
      </c>
      <c r="I169" s="218" t="str">
        <f>IFERROR(HLOOKUP('Air Source Heat Pump(s)'!D170,'phius_monthly climate data'!$L$3:$CA$83,'phius_monthly climate data'!$CD165,FALSE),"")</f>
        <v/>
      </c>
      <c r="CD169" s="215">
        <v>167</v>
      </c>
    </row>
    <row r="170" spans="1:82" x14ac:dyDescent="0.35">
      <c r="A170" s="211" t="s">
        <v>77</v>
      </c>
      <c r="B170" s="211" t="s">
        <v>14</v>
      </c>
      <c r="C170" s="216" t="s">
        <v>238</v>
      </c>
      <c r="D170" s="222">
        <v>95.1</v>
      </c>
      <c r="E170" s="222">
        <v>33</v>
      </c>
      <c r="F170" s="211">
        <v>33</v>
      </c>
      <c r="I170" s="218" t="str">
        <f>IFERROR(HLOOKUP('Air Source Heat Pump(s)'!D171,'phius_monthly climate data'!$L$3:$CA$83,'phius_monthly climate data'!$CD166,FALSE),"")</f>
        <v/>
      </c>
      <c r="CD170" s="215">
        <v>168</v>
      </c>
    </row>
    <row r="171" spans="1:82" x14ac:dyDescent="0.35">
      <c r="A171" s="211" t="s">
        <v>77</v>
      </c>
      <c r="B171" s="211" t="s">
        <v>14</v>
      </c>
      <c r="C171" s="216" t="s">
        <v>239</v>
      </c>
      <c r="D171" s="222">
        <v>98.8</v>
      </c>
      <c r="E171" s="222">
        <v>18.899999999999999</v>
      </c>
      <c r="F171" s="211">
        <v>34</v>
      </c>
      <c r="I171" s="218" t="str">
        <f>IFERROR(HLOOKUP('Air Source Heat Pump(s)'!D172,'phius_monthly climate data'!$L$3:$CA$83,'phius_monthly climate data'!$CD167,FALSE),"")</f>
        <v/>
      </c>
      <c r="CD171" s="215">
        <v>169</v>
      </c>
    </row>
    <row r="172" spans="1:82" x14ac:dyDescent="0.35">
      <c r="A172" s="211" t="s">
        <v>77</v>
      </c>
      <c r="B172" s="211" t="s">
        <v>14</v>
      </c>
      <c r="C172" s="216" t="s">
        <v>240</v>
      </c>
      <c r="D172" s="222">
        <v>81.099999999999994</v>
      </c>
      <c r="E172" s="222">
        <v>23.7</v>
      </c>
      <c r="F172" s="211">
        <v>24</v>
      </c>
      <c r="I172" s="218" t="str">
        <f>IFERROR(HLOOKUP('Air Source Heat Pump(s)'!D173,'phius_monthly climate data'!$L$3:$CA$83,'phius_monthly climate data'!$CD168,FALSE),"")</f>
        <v/>
      </c>
      <c r="CD172" s="215">
        <v>170</v>
      </c>
    </row>
    <row r="173" spans="1:82" x14ac:dyDescent="0.35">
      <c r="A173" s="211" t="s">
        <v>77</v>
      </c>
      <c r="B173" s="211" t="s">
        <v>14</v>
      </c>
      <c r="C173" s="216" t="s">
        <v>241</v>
      </c>
      <c r="D173" s="222">
        <v>110.4</v>
      </c>
      <c r="E173" s="222">
        <v>39.299999999999997</v>
      </c>
      <c r="F173" s="211">
        <v>50</v>
      </c>
      <c r="I173" s="218" t="str">
        <f>IFERROR(HLOOKUP('Air Source Heat Pump(s)'!D174,'phius_monthly climate data'!$L$3:$CA$83,'phius_monthly climate data'!$CD169,FALSE),"")</f>
        <v/>
      </c>
      <c r="CD173" s="215">
        <v>171</v>
      </c>
    </row>
    <row r="174" spans="1:82" x14ac:dyDescent="0.35">
      <c r="A174" s="211" t="s">
        <v>77</v>
      </c>
      <c r="B174" s="211" t="s">
        <v>14</v>
      </c>
      <c r="C174" s="216" t="s">
        <v>242</v>
      </c>
      <c r="D174" s="222">
        <v>94.1</v>
      </c>
      <c r="E174" s="222">
        <v>41.1</v>
      </c>
      <c r="F174" s="211">
        <v>49</v>
      </c>
      <c r="I174" s="218" t="str">
        <f>IFERROR(HLOOKUP('Air Source Heat Pump(s)'!D175,'phius_monthly climate data'!$L$3:$CA$83,'phius_monthly climate data'!$CD170,FALSE),"")</f>
        <v/>
      </c>
      <c r="CD174" s="215">
        <v>172</v>
      </c>
    </row>
    <row r="175" spans="1:82" x14ac:dyDescent="0.35">
      <c r="A175" s="211" t="s">
        <v>77</v>
      </c>
      <c r="B175" s="211" t="s">
        <v>14</v>
      </c>
      <c r="C175" s="216" t="s">
        <v>243</v>
      </c>
      <c r="D175" s="222">
        <v>82.4</v>
      </c>
      <c r="E175" s="222">
        <v>39.700000000000003</v>
      </c>
      <c r="F175" s="211">
        <v>45</v>
      </c>
      <c r="I175" s="218" t="str">
        <f>IFERROR(HLOOKUP('Air Source Heat Pump(s)'!D176,'phius_monthly climate data'!$L$3:$CA$83,'phius_monthly climate data'!$CD171,FALSE),"")</f>
        <v/>
      </c>
      <c r="CD175" s="215">
        <v>173</v>
      </c>
    </row>
    <row r="176" spans="1:82" x14ac:dyDescent="0.35">
      <c r="A176" s="211" t="s">
        <v>77</v>
      </c>
      <c r="B176" s="211" t="s">
        <v>14</v>
      </c>
      <c r="C176" s="216" t="s">
        <v>244</v>
      </c>
      <c r="D176" s="222">
        <v>87.9</v>
      </c>
      <c r="E176" s="222">
        <v>34.700000000000003</v>
      </c>
      <c r="F176" s="211">
        <v>49</v>
      </c>
      <c r="CD176" s="215">
        <v>174</v>
      </c>
    </row>
    <row r="177" spans="1:82" x14ac:dyDescent="0.35">
      <c r="A177" s="211" t="s">
        <v>77</v>
      </c>
      <c r="B177" s="211" t="s">
        <v>14</v>
      </c>
      <c r="C177" s="216" t="s">
        <v>245</v>
      </c>
      <c r="D177" s="222">
        <v>80.7</v>
      </c>
      <c r="E177" s="222">
        <v>44.8</v>
      </c>
      <c r="F177" s="211">
        <v>51</v>
      </c>
      <c r="I177" s="218" t="str">
        <f>IFERROR(HLOOKUP('Air Source Heat Pump(s)'!D177,'phius_monthly climate data'!$L$3:$CA$83,'phius_monthly climate data'!$CD172,FALSE),"")</f>
        <v/>
      </c>
      <c r="CD177" s="215">
        <v>175</v>
      </c>
    </row>
    <row r="178" spans="1:82" x14ac:dyDescent="0.35">
      <c r="A178" s="211" t="s">
        <v>77</v>
      </c>
      <c r="B178" s="211" t="s">
        <v>14</v>
      </c>
      <c r="C178" s="216" t="s">
        <v>1226</v>
      </c>
      <c r="D178" s="222">
        <v>106</v>
      </c>
      <c r="E178" s="222">
        <v>26.5</v>
      </c>
      <c r="F178" s="211">
        <v>35.96</v>
      </c>
      <c r="I178" s="218" t="str">
        <f>IFERROR(HLOOKUP('Air Source Heat Pump(s)'!D178,'phius_monthly climate data'!$L$3:$CA$83,'phius_monthly climate data'!$CD173,FALSE),"")</f>
        <v/>
      </c>
      <c r="CD178" s="215">
        <v>176</v>
      </c>
    </row>
    <row r="179" spans="1:82" x14ac:dyDescent="0.35">
      <c r="A179" s="211" t="s">
        <v>77</v>
      </c>
      <c r="B179" s="211" t="s">
        <v>14</v>
      </c>
      <c r="C179" s="216" t="s">
        <v>246</v>
      </c>
      <c r="D179" s="222">
        <v>97.5</v>
      </c>
      <c r="E179" s="222">
        <v>36.299999999999997</v>
      </c>
      <c r="F179" s="211">
        <v>47</v>
      </c>
      <c r="I179" s="218" t="str">
        <f>IFERROR(HLOOKUP('Air Source Heat Pump(s)'!D179,'phius_monthly climate data'!$L$3:$CA$83,'phius_monthly climate data'!$CD174,FALSE),"")</f>
        <v/>
      </c>
      <c r="CD179" s="215">
        <v>177</v>
      </c>
    </row>
    <row r="180" spans="1:82" x14ac:dyDescent="0.35">
      <c r="A180" s="211" t="s">
        <v>77</v>
      </c>
      <c r="B180" s="211" t="s">
        <v>14</v>
      </c>
      <c r="C180" s="216" t="s">
        <v>247</v>
      </c>
      <c r="D180" s="222">
        <v>85.2</v>
      </c>
      <c r="E180" s="222">
        <v>41.5</v>
      </c>
      <c r="F180" s="211">
        <v>50</v>
      </c>
      <c r="I180" s="218" t="str">
        <f>IFERROR(HLOOKUP('Air Source Heat Pump(s)'!D180,'phius_monthly climate data'!$L$3:$CA$83,'phius_monthly climate data'!$CD175,FALSE),"")</f>
        <v/>
      </c>
      <c r="CD180" s="215">
        <v>178</v>
      </c>
    </row>
    <row r="181" spans="1:82" x14ac:dyDescent="0.35">
      <c r="A181" s="211" t="s">
        <v>77</v>
      </c>
      <c r="B181" s="211" t="s">
        <v>14</v>
      </c>
      <c r="C181" s="216" t="s">
        <v>248</v>
      </c>
      <c r="D181" s="222">
        <v>84</v>
      </c>
      <c r="E181" s="222">
        <v>45.8</v>
      </c>
      <c r="F181" s="211">
        <v>45</v>
      </c>
      <c r="I181" s="218" t="str">
        <f>IFERROR(HLOOKUP('Air Source Heat Pump(s)'!D181,'phius_monthly climate data'!$L$3:$CA$83,'phius_monthly climate data'!$CD176,FALSE),"")</f>
        <v/>
      </c>
      <c r="CD181" s="215">
        <v>179</v>
      </c>
    </row>
    <row r="182" spans="1:82" x14ac:dyDescent="0.35">
      <c r="A182" s="211" t="s">
        <v>77</v>
      </c>
      <c r="B182" s="211" t="s">
        <v>14</v>
      </c>
      <c r="C182" s="216" t="s">
        <v>249</v>
      </c>
      <c r="D182" s="222">
        <v>65.099999999999994</v>
      </c>
      <c r="E182" s="222">
        <v>36.6</v>
      </c>
      <c r="F182" s="211">
        <v>43</v>
      </c>
      <c r="I182" s="218" t="str">
        <f>IFERROR(HLOOKUP('Air Source Heat Pump(s)'!D182,'phius_monthly climate data'!$L$3:$CA$83,'phius_monthly climate data'!$CD177,FALSE),"")</f>
        <v/>
      </c>
      <c r="CD182" s="215">
        <v>180</v>
      </c>
    </row>
    <row r="183" spans="1:82" x14ac:dyDescent="0.35">
      <c r="A183" s="211" t="s">
        <v>77</v>
      </c>
      <c r="B183" s="211" t="s">
        <v>14</v>
      </c>
      <c r="C183" s="216" t="s">
        <v>250</v>
      </c>
      <c r="D183" s="222">
        <v>106.3</v>
      </c>
      <c r="E183" s="222">
        <v>32</v>
      </c>
      <c r="F183" s="211">
        <v>41</v>
      </c>
      <c r="I183" s="218" t="str">
        <f>IFERROR(HLOOKUP('Air Source Heat Pump(s)'!D183,'phius_monthly climate data'!$L$3:$CA$83,'phius_monthly climate data'!$CD178,FALSE),"")</f>
        <v/>
      </c>
      <c r="CD183" s="215">
        <v>181</v>
      </c>
    </row>
    <row r="184" spans="1:82" x14ac:dyDescent="0.35">
      <c r="A184" s="211" t="s">
        <v>77</v>
      </c>
      <c r="B184" s="211" t="s">
        <v>14</v>
      </c>
      <c r="C184" s="216" t="s">
        <v>251</v>
      </c>
      <c r="D184" s="222">
        <v>100.3</v>
      </c>
      <c r="E184" s="222">
        <v>24.7</v>
      </c>
      <c r="F184" s="211">
        <v>36</v>
      </c>
      <c r="I184" s="218" t="str">
        <f>IFERROR(HLOOKUP('Air Source Heat Pump(s)'!D184,'phius_monthly climate data'!$L$3:$CA$83,'phius_monthly climate data'!$CD179,FALSE),"")</f>
        <v/>
      </c>
      <c r="CD184" s="215">
        <v>182</v>
      </c>
    </row>
    <row r="185" spans="1:82" x14ac:dyDescent="0.35">
      <c r="A185" s="211" t="s">
        <v>77</v>
      </c>
      <c r="B185" s="211" t="s">
        <v>14</v>
      </c>
      <c r="C185" s="216" t="s">
        <v>252</v>
      </c>
      <c r="D185" s="222">
        <v>101</v>
      </c>
      <c r="E185" s="222">
        <v>34.1</v>
      </c>
      <c r="F185" s="211">
        <v>38</v>
      </c>
      <c r="I185" s="218" t="str">
        <f>IFERROR(HLOOKUP('Air Source Heat Pump(s)'!D185,'phius_monthly climate data'!$L$3:$CA$83,'phius_monthly climate data'!$CD180,FALSE),"")</f>
        <v/>
      </c>
      <c r="CD185" s="215">
        <v>183</v>
      </c>
    </row>
    <row r="186" spans="1:82" x14ac:dyDescent="0.35">
      <c r="A186" s="211" t="s">
        <v>77</v>
      </c>
      <c r="B186" s="211" t="s">
        <v>14</v>
      </c>
      <c r="C186" s="216" t="s">
        <v>253</v>
      </c>
      <c r="D186" s="222">
        <v>91.3</v>
      </c>
      <c r="E186" s="222">
        <v>42.8</v>
      </c>
      <c r="F186" s="211">
        <v>52</v>
      </c>
      <c r="I186" s="218" t="str">
        <f>IFERROR(HLOOKUP('Air Source Heat Pump(s)'!D186,'phius_monthly climate data'!$L$3:$CA$83,'phius_monthly climate data'!$CD181,FALSE),"")</f>
        <v/>
      </c>
      <c r="CD186" s="215">
        <v>184</v>
      </c>
    </row>
    <row r="187" spans="1:82" x14ac:dyDescent="0.35">
      <c r="A187" s="211" t="s">
        <v>77</v>
      </c>
      <c r="B187" s="211" t="s">
        <v>14</v>
      </c>
      <c r="C187" s="216" t="s">
        <v>254</v>
      </c>
      <c r="D187" s="222">
        <v>82.4</v>
      </c>
      <c r="E187" s="222">
        <v>38.9</v>
      </c>
      <c r="F187" s="211">
        <v>41</v>
      </c>
      <c r="I187" s="218" t="str">
        <f>IFERROR(HLOOKUP('Air Source Heat Pump(s)'!D187,'phius_monthly climate data'!$L$3:$CA$83,'phius_monthly climate data'!$CD182,FALSE),"")</f>
        <v/>
      </c>
      <c r="CD187" s="215">
        <v>185</v>
      </c>
    </row>
    <row r="188" spans="1:82" x14ac:dyDescent="0.35">
      <c r="A188" s="211" t="s">
        <v>77</v>
      </c>
      <c r="B188" s="211" t="s">
        <v>14</v>
      </c>
      <c r="C188" s="216" t="s">
        <v>255</v>
      </c>
      <c r="D188" s="222">
        <v>109.1</v>
      </c>
      <c r="E188" s="222">
        <v>37.9</v>
      </c>
      <c r="F188" s="211">
        <v>53</v>
      </c>
      <c r="I188" s="218" t="str">
        <f>IFERROR(HLOOKUP('Air Source Heat Pump(s)'!D188,'phius_monthly climate data'!$L$3:$CA$83,'phius_monthly climate data'!$CD183,FALSE),"")</f>
        <v/>
      </c>
      <c r="CD188" s="215">
        <v>186</v>
      </c>
    </row>
    <row r="189" spans="1:82" x14ac:dyDescent="0.35">
      <c r="A189" s="211" t="s">
        <v>77</v>
      </c>
      <c r="B189" s="211" t="s">
        <v>14</v>
      </c>
      <c r="C189" s="216" t="s">
        <v>256</v>
      </c>
      <c r="D189" s="222">
        <v>102</v>
      </c>
      <c r="E189" s="222">
        <v>25.1</v>
      </c>
      <c r="F189" s="211">
        <v>52</v>
      </c>
      <c r="I189" s="218" t="str">
        <f>IFERROR(HLOOKUP('Air Source Heat Pump(s)'!D189,'phius_monthly climate data'!$L$3:$CA$83,'phius_monthly climate data'!$CD184,FALSE),"")</f>
        <v/>
      </c>
      <c r="CD189" s="215">
        <v>187</v>
      </c>
    </row>
    <row r="190" spans="1:82" x14ac:dyDescent="0.35">
      <c r="A190" s="211" t="s">
        <v>77</v>
      </c>
      <c r="B190" s="211" t="s">
        <v>14</v>
      </c>
      <c r="C190" s="216" t="s">
        <v>257</v>
      </c>
      <c r="D190" s="222">
        <v>98.8</v>
      </c>
      <c r="E190" s="222">
        <v>35</v>
      </c>
      <c r="F190" s="211">
        <v>36</v>
      </c>
      <c r="I190" s="218" t="str">
        <f>IFERROR(HLOOKUP('Air Source Heat Pump(s)'!D190,'phius_monthly climate data'!$L$3:$CA$83,'phius_monthly climate data'!$CD185,FALSE),"")</f>
        <v/>
      </c>
      <c r="CD190" s="215">
        <v>188</v>
      </c>
    </row>
    <row r="191" spans="1:82" x14ac:dyDescent="0.35">
      <c r="A191" s="211" t="s">
        <v>77</v>
      </c>
      <c r="B191" s="211" t="s">
        <v>14</v>
      </c>
      <c r="C191" s="216" t="s">
        <v>258</v>
      </c>
      <c r="D191" s="222">
        <v>100.6</v>
      </c>
      <c r="E191" s="222">
        <v>31</v>
      </c>
      <c r="F191" s="211">
        <v>35</v>
      </c>
      <c r="I191" s="218" t="str">
        <f>IFERROR(HLOOKUP('Air Source Heat Pump(s)'!D191,'phius_monthly climate data'!$L$3:$CA$83,'phius_monthly climate data'!$CD186,FALSE),"")</f>
        <v/>
      </c>
      <c r="CD191" s="215">
        <v>189</v>
      </c>
    </row>
    <row r="192" spans="1:82" x14ac:dyDescent="0.35">
      <c r="A192" s="211" t="s">
        <v>77</v>
      </c>
      <c r="B192" s="211" t="s">
        <v>14</v>
      </c>
      <c r="C192" s="216" t="s">
        <v>259</v>
      </c>
      <c r="D192" s="222">
        <v>94.8</v>
      </c>
      <c r="E192" s="222">
        <v>33.1</v>
      </c>
      <c r="F192" s="211">
        <v>39</v>
      </c>
      <c r="I192" s="218" t="str">
        <f>IFERROR(HLOOKUP('Air Source Heat Pump(s)'!D192,'phius_monthly climate data'!$L$3:$CA$83,'phius_monthly climate data'!$CD187,FALSE),"")</f>
        <v/>
      </c>
      <c r="CD192" s="215">
        <v>190</v>
      </c>
    </row>
    <row r="193" spans="1:82" x14ac:dyDescent="0.35">
      <c r="A193" s="211" t="s">
        <v>77</v>
      </c>
      <c r="B193" s="211" t="s">
        <v>14</v>
      </c>
      <c r="C193" s="216" t="s">
        <v>260</v>
      </c>
      <c r="D193" s="222">
        <v>77.400000000000006</v>
      </c>
      <c r="E193" s="222">
        <v>35.5</v>
      </c>
      <c r="F193" s="211">
        <v>39</v>
      </c>
      <c r="I193" s="218" t="str">
        <f>IFERROR(HLOOKUP('Air Source Heat Pump(s)'!D193,'phius_monthly climate data'!$L$3:$CA$83,'phius_monthly climate data'!$CD188,FALSE),"")</f>
        <v/>
      </c>
      <c r="CD193" s="215">
        <v>191</v>
      </c>
    </row>
    <row r="194" spans="1:82" x14ac:dyDescent="0.35">
      <c r="A194" s="211" t="s">
        <v>77</v>
      </c>
      <c r="B194" s="211" t="s">
        <v>14</v>
      </c>
      <c r="C194" s="216" t="s">
        <v>261</v>
      </c>
      <c r="D194" s="222">
        <v>87.8</v>
      </c>
      <c r="E194" s="222">
        <v>43.7</v>
      </c>
      <c r="F194" s="211">
        <v>49</v>
      </c>
      <c r="I194" s="218" t="str">
        <f>IFERROR(HLOOKUP('Air Source Heat Pump(s)'!D194,'phius_monthly climate data'!$L$3:$CA$83,'phius_monthly climate data'!$CD189,FALSE),"")</f>
        <v/>
      </c>
      <c r="CD194" s="215">
        <v>192</v>
      </c>
    </row>
    <row r="195" spans="1:82" x14ac:dyDescent="0.35">
      <c r="A195" s="211" t="s">
        <v>77</v>
      </c>
      <c r="B195" s="211" t="s">
        <v>14</v>
      </c>
      <c r="C195" s="216" t="s">
        <v>262</v>
      </c>
      <c r="D195" s="222">
        <v>80.400000000000006</v>
      </c>
      <c r="E195" s="222">
        <v>46.8</v>
      </c>
      <c r="F195" s="211">
        <v>52</v>
      </c>
      <c r="I195" s="218" t="str">
        <f>IFERROR(HLOOKUP('Air Source Heat Pump(s)'!D195,'phius_monthly climate data'!$L$3:$CA$83,'phius_monthly climate data'!$CD190,FALSE),"")</f>
        <v/>
      </c>
      <c r="CD195" s="215">
        <v>193</v>
      </c>
    </row>
    <row r="196" spans="1:82" x14ac:dyDescent="0.35">
      <c r="A196" s="211" t="s">
        <v>77</v>
      </c>
      <c r="B196" s="211" t="s">
        <v>14</v>
      </c>
      <c r="C196" s="216" t="s">
        <v>263</v>
      </c>
      <c r="D196" s="222">
        <v>98.2</v>
      </c>
      <c r="E196" s="222">
        <v>33.9</v>
      </c>
      <c r="F196" s="211">
        <v>42</v>
      </c>
      <c r="I196" s="218" t="str">
        <f>IFERROR(HLOOKUP('Air Source Heat Pump(s)'!D196,'phius_monthly climate data'!$L$3:$CA$83,'phius_monthly climate data'!$CD191,FALSE),"")</f>
        <v/>
      </c>
      <c r="CD196" s="215">
        <v>194</v>
      </c>
    </row>
    <row r="197" spans="1:82" x14ac:dyDescent="0.35">
      <c r="A197" s="211" t="s">
        <v>77</v>
      </c>
      <c r="B197" s="211" t="s">
        <v>14</v>
      </c>
      <c r="C197" s="216" t="s">
        <v>264</v>
      </c>
      <c r="D197" s="222">
        <v>99</v>
      </c>
      <c r="E197" s="222">
        <v>31.9</v>
      </c>
      <c r="F197" s="211">
        <v>41</v>
      </c>
      <c r="I197" s="218" t="str">
        <f>IFERROR(HLOOKUP('Air Source Heat Pump(s)'!D197,'phius_monthly climate data'!$L$3:$CA$83,'phius_monthly climate data'!$CD192,FALSE),"")</f>
        <v/>
      </c>
      <c r="CD197" s="215">
        <v>195</v>
      </c>
    </row>
    <row r="198" spans="1:82" x14ac:dyDescent="0.35">
      <c r="A198" s="211" t="s">
        <v>77</v>
      </c>
      <c r="B198" s="211" t="s">
        <v>14</v>
      </c>
      <c r="C198" s="216" t="s">
        <v>265</v>
      </c>
      <c r="D198" s="222">
        <v>98.2</v>
      </c>
      <c r="E198" s="222">
        <v>33.299999999999997</v>
      </c>
      <c r="F198" s="211">
        <v>41</v>
      </c>
      <c r="I198" s="218" t="str">
        <f>IFERROR(HLOOKUP('Air Source Heat Pump(s)'!D198,'phius_monthly climate data'!$L$3:$CA$83,'phius_monthly climate data'!$CD193,FALSE),"")</f>
        <v/>
      </c>
      <c r="CD198" s="215">
        <v>196</v>
      </c>
    </row>
    <row r="199" spans="1:82" x14ac:dyDescent="0.35">
      <c r="A199" s="211" t="s">
        <v>77</v>
      </c>
      <c r="B199" s="211" t="s">
        <v>14</v>
      </c>
      <c r="C199" s="216" t="s">
        <v>266</v>
      </c>
      <c r="D199" s="222">
        <v>93.4</v>
      </c>
      <c r="E199" s="222">
        <v>19.100000000000001</v>
      </c>
      <c r="F199" s="211">
        <v>28</v>
      </c>
      <c r="I199" s="218" t="str">
        <f>IFERROR(HLOOKUP('Air Source Heat Pump(s)'!D199,'phius_monthly climate data'!$L$3:$CA$83,'phius_monthly climate data'!$CD194,FALSE),"")</f>
        <v/>
      </c>
      <c r="CD199" s="215">
        <v>197</v>
      </c>
    </row>
    <row r="200" spans="1:82" x14ac:dyDescent="0.35">
      <c r="A200" s="211" t="s">
        <v>77</v>
      </c>
      <c r="B200" s="211" t="s">
        <v>14</v>
      </c>
      <c r="C200" s="216" t="s">
        <v>267</v>
      </c>
      <c r="D200" s="222">
        <v>73.5</v>
      </c>
      <c r="E200" s="222">
        <v>38.799999999999997</v>
      </c>
      <c r="F200" s="211">
        <v>47</v>
      </c>
      <c r="I200" s="218" t="str">
        <f>IFERROR(HLOOKUP('Air Source Heat Pump(s)'!D200,'phius_monthly climate data'!$L$3:$CA$83,'phius_monthly climate data'!$CD195,FALSE),"")</f>
        <v/>
      </c>
      <c r="CD200" s="215">
        <v>198</v>
      </c>
    </row>
    <row r="201" spans="1:82" x14ac:dyDescent="0.35">
      <c r="A201" s="211" t="s">
        <v>77</v>
      </c>
      <c r="B201" s="211" t="s">
        <v>14</v>
      </c>
      <c r="C201" s="216" t="s">
        <v>268</v>
      </c>
      <c r="D201" s="222">
        <v>83.7</v>
      </c>
      <c r="E201" s="222">
        <v>38.5</v>
      </c>
      <c r="F201" s="211">
        <v>44</v>
      </c>
      <c r="I201" s="218" t="str">
        <f>IFERROR(HLOOKUP('Air Source Heat Pump(s)'!D201,'phius_monthly climate data'!$L$3:$CA$83,'phius_monthly climate data'!$CD196,FALSE),"")</f>
        <v/>
      </c>
      <c r="CD201" s="215">
        <v>199</v>
      </c>
    </row>
    <row r="202" spans="1:82" x14ac:dyDescent="0.35">
      <c r="A202" s="211" t="s">
        <v>77</v>
      </c>
      <c r="B202" s="211" t="s">
        <v>14</v>
      </c>
      <c r="C202" s="216" t="s">
        <v>269</v>
      </c>
      <c r="D202" s="222">
        <v>86.5</v>
      </c>
      <c r="E202" s="222">
        <v>31.8</v>
      </c>
      <c r="F202" s="211">
        <v>44</v>
      </c>
      <c r="I202" s="218" t="str">
        <f>IFERROR(HLOOKUP('Air Source Heat Pump(s)'!D202,'phius_monthly climate data'!$L$3:$CA$83,'phius_monthly climate data'!$CD197,FALSE),"")</f>
        <v/>
      </c>
      <c r="CD202" s="215">
        <v>200</v>
      </c>
    </row>
    <row r="203" spans="1:82" x14ac:dyDescent="0.35">
      <c r="A203" s="211" t="s">
        <v>77</v>
      </c>
      <c r="B203" s="211" t="s">
        <v>14</v>
      </c>
      <c r="C203" s="216" t="s">
        <v>270</v>
      </c>
      <c r="D203" s="222">
        <v>111.7</v>
      </c>
      <c r="E203" s="222">
        <v>39.799999999999997</v>
      </c>
      <c r="F203" s="211">
        <v>47</v>
      </c>
      <c r="I203" s="218" t="str">
        <f>IFERROR(HLOOKUP('Air Source Heat Pump(s)'!D203,'phius_monthly climate data'!$L$3:$CA$83,'phius_monthly climate data'!$CD198,FALSE),"")</f>
        <v/>
      </c>
      <c r="CD203" s="215">
        <v>201</v>
      </c>
    </row>
    <row r="204" spans="1:82" x14ac:dyDescent="0.35">
      <c r="A204" s="211" t="s">
        <v>77</v>
      </c>
      <c r="B204" s="211" t="s">
        <v>14</v>
      </c>
      <c r="C204" s="216" t="s">
        <v>271</v>
      </c>
      <c r="D204" s="222">
        <v>79.099999999999994</v>
      </c>
      <c r="E204" s="222">
        <v>38.9</v>
      </c>
      <c r="F204" s="211">
        <v>46</v>
      </c>
      <c r="I204" s="218" t="str">
        <f>IFERROR(HLOOKUP('Air Source Heat Pump(s)'!D204,'phius_monthly climate data'!$L$3:$CA$83,'phius_monthly climate data'!$CD199,FALSE),"")</f>
        <v/>
      </c>
      <c r="CD204" s="215">
        <v>202</v>
      </c>
    </row>
    <row r="205" spans="1:82" x14ac:dyDescent="0.35">
      <c r="A205" s="211" t="s">
        <v>77</v>
      </c>
      <c r="B205" s="211" t="s">
        <v>14</v>
      </c>
      <c r="C205" s="216" t="s">
        <v>272</v>
      </c>
      <c r="D205" s="222">
        <v>77.5</v>
      </c>
      <c r="E205" s="222">
        <v>42.7</v>
      </c>
      <c r="F205" s="211">
        <v>51</v>
      </c>
      <c r="I205" s="218" t="str">
        <f>IFERROR(HLOOKUP('Air Source Heat Pump(s)'!D205,'phius_monthly climate data'!$L$3:$CA$83,'phius_monthly climate data'!$CD200,FALSE),"")</f>
        <v/>
      </c>
      <c r="CD205" s="215">
        <v>203</v>
      </c>
    </row>
    <row r="206" spans="1:82" x14ac:dyDescent="0.35">
      <c r="A206" s="211" t="s">
        <v>77</v>
      </c>
      <c r="B206" s="211" t="s">
        <v>14</v>
      </c>
      <c r="C206" s="216" t="s">
        <v>273</v>
      </c>
      <c r="D206" s="222">
        <v>109.2</v>
      </c>
      <c r="E206" s="222">
        <v>43.5</v>
      </c>
      <c r="F206" s="211">
        <v>52</v>
      </c>
      <c r="I206" s="218" t="str">
        <f>IFERROR(HLOOKUP('Air Source Heat Pump(s)'!D206,'phius_monthly climate data'!$L$3:$CA$83,'phius_monthly climate data'!$CD201,FALSE),"")</f>
        <v/>
      </c>
      <c r="CD206" s="215">
        <v>204</v>
      </c>
    </row>
    <row r="207" spans="1:82" x14ac:dyDescent="0.35">
      <c r="A207" s="211" t="s">
        <v>77</v>
      </c>
      <c r="B207" s="211" t="s">
        <v>14</v>
      </c>
      <c r="C207" s="216" t="s">
        <v>274</v>
      </c>
      <c r="D207" s="222">
        <v>109.1</v>
      </c>
      <c r="E207" s="222">
        <v>34.4</v>
      </c>
      <c r="F207" s="211">
        <v>47</v>
      </c>
      <c r="I207" s="218" t="str">
        <f>IFERROR(HLOOKUP('Air Source Heat Pump(s)'!D207,'phius_monthly climate data'!$L$3:$CA$83,'phius_monthly climate data'!$CD202,FALSE),"")</f>
        <v/>
      </c>
      <c r="CD207" s="215">
        <v>205</v>
      </c>
    </row>
    <row r="208" spans="1:82" x14ac:dyDescent="0.35">
      <c r="A208" s="211" t="s">
        <v>77</v>
      </c>
      <c r="B208" s="211" t="s">
        <v>14</v>
      </c>
      <c r="C208" s="216" t="s">
        <v>275</v>
      </c>
      <c r="D208" s="222">
        <v>99.7</v>
      </c>
      <c r="E208" s="222">
        <v>27.7</v>
      </c>
      <c r="F208" s="211">
        <v>37</v>
      </c>
      <c r="I208" s="218" t="str">
        <f>IFERROR(HLOOKUP('Air Source Heat Pump(s)'!D208,'phius_monthly climate data'!$L$3:$CA$83,'phius_monthly climate data'!$CD203,FALSE),"")</f>
        <v/>
      </c>
      <c r="CD208" s="215">
        <v>206</v>
      </c>
    </row>
    <row r="209" spans="1:82" x14ac:dyDescent="0.35">
      <c r="A209" s="211" t="s">
        <v>77</v>
      </c>
      <c r="B209" s="211" t="s">
        <v>14</v>
      </c>
      <c r="C209" s="216" t="s">
        <v>276</v>
      </c>
      <c r="D209" s="222">
        <v>98.8</v>
      </c>
      <c r="E209" s="222">
        <v>29.1</v>
      </c>
      <c r="F209" s="211">
        <v>41</v>
      </c>
      <c r="I209" s="218" t="str">
        <f>IFERROR(HLOOKUP('Air Source Heat Pump(s)'!D209,'phius_monthly climate data'!$L$3:$CA$83,'phius_monthly climate data'!$CD204,FALSE),"")</f>
        <v/>
      </c>
      <c r="CD209" s="215">
        <v>207</v>
      </c>
    </row>
    <row r="210" spans="1:82" x14ac:dyDescent="0.35">
      <c r="A210" s="211" t="s">
        <v>77</v>
      </c>
      <c r="B210" s="211" t="s">
        <v>14</v>
      </c>
      <c r="C210" s="216" t="s">
        <v>277</v>
      </c>
      <c r="D210" s="222">
        <v>78.400000000000006</v>
      </c>
      <c r="E210" s="222">
        <v>41</v>
      </c>
      <c r="F210" s="211">
        <v>50</v>
      </c>
      <c r="I210" s="218" t="str">
        <f>IFERROR(HLOOKUP('Air Source Heat Pump(s)'!D210,'phius_monthly climate data'!$L$3:$CA$83,'phius_monthly climate data'!$CD205,FALSE),"")</f>
        <v/>
      </c>
      <c r="CD210" s="215">
        <v>208</v>
      </c>
    </row>
    <row r="211" spans="1:82" x14ac:dyDescent="0.35">
      <c r="A211" s="211" t="s">
        <v>77</v>
      </c>
      <c r="B211" s="211" t="s">
        <v>14</v>
      </c>
      <c r="C211" s="216" t="s">
        <v>278</v>
      </c>
      <c r="D211" s="222">
        <v>99.2</v>
      </c>
      <c r="E211" s="222">
        <v>33.5</v>
      </c>
      <c r="F211" s="211">
        <v>40</v>
      </c>
      <c r="I211" s="218" t="str">
        <f>IFERROR(HLOOKUP('Air Source Heat Pump(s)'!D211,'phius_monthly climate data'!$L$3:$CA$83,'phius_monthly climate data'!$CD206,FALSE),"")</f>
        <v/>
      </c>
      <c r="CD211" s="215">
        <v>209</v>
      </c>
    </row>
    <row r="212" spans="1:82" x14ac:dyDescent="0.35">
      <c r="A212" s="211" t="s">
        <v>77</v>
      </c>
      <c r="B212" s="211" t="s">
        <v>14</v>
      </c>
      <c r="C212" s="216" t="s">
        <v>279</v>
      </c>
      <c r="D212" s="222">
        <v>101.3</v>
      </c>
      <c r="E212" s="222">
        <v>32.6</v>
      </c>
      <c r="F212" s="211">
        <v>41</v>
      </c>
      <c r="I212" s="218" t="str">
        <f>IFERROR(HLOOKUP('Air Source Heat Pump(s)'!D212,'phius_monthly climate data'!$L$3:$CA$83,'phius_monthly climate data'!$CD207,FALSE),"")</f>
        <v/>
      </c>
      <c r="CD212" s="215">
        <v>210</v>
      </c>
    </row>
    <row r="213" spans="1:82" x14ac:dyDescent="0.35">
      <c r="A213" s="211" t="s">
        <v>77</v>
      </c>
      <c r="B213" s="211" t="s">
        <v>14</v>
      </c>
      <c r="C213" s="216" t="s">
        <v>280</v>
      </c>
      <c r="D213" s="222">
        <v>102</v>
      </c>
      <c r="E213" s="222">
        <v>30.9</v>
      </c>
      <c r="F213" s="211">
        <v>40</v>
      </c>
      <c r="I213" s="218" t="str">
        <f>IFERROR(HLOOKUP('Air Source Heat Pump(s)'!D213,'phius_monthly climate data'!$L$3:$CA$83,'phius_monthly climate data'!$CD208,FALSE),"")</f>
        <v/>
      </c>
      <c r="CD213" s="215">
        <v>211</v>
      </c>
    </row>
    <row r="214" spans="1:82" x14ac:dyDescent="0.35">
      <c r="A214" s="211" t="s">
        <v>77</v>
      </c>
      <c r="B214" s="211" t="s">
        <v>14</v>
      </c>
      <c r="C214" s="216" t="s">
        <v>281</v>
      </c>
      <c r="D214" s="222">
        <v>97.7</v>
      </c>
      <c r="E214" s="222">
        <v>38.700000000000003</v>
      </c>
      <c r="F214" s="211">
        <v>47</v>
      </c>
      <c r="I214" s="218" t="str">
        <f>IFERROR(HLOOKUP('Air Source Heat Pump(s)'!D214,'phius_monthly climate data'!$L$3:$CA$83,'phius_monthly climate data'!$CD209,FALSE),"")</f>
        <v/>
      </c>
      <c r="CD214" s="215">
        <v>212</v>
      </c>
    </row>
    <row r="215" spans="1:82" x14ac:dyDescent="0.35">
      <c r="A215" s="211" t="s">
        <v>77</v>
      </c>
      <c r="B215" s="211" t="s">
        <v>14</v>
      </c>
      <c r="C215" s="216" t="s">
        <v>282</v>
      </c>
      <c r="D215" s="222">
        <v>96.9</v>
      </c>
      <c r="E215" s="222">
        <v>33.6</v>
      </c>
      <c r="F215" s="211">
        <v>42</v>
      </c>
      <c r="I215" s="218" t="str">
        <f>IFERROR(HLOOKUP('Air Source Heat Pump(s)'!D215,'phius_monthly climate data'!$L$3:$CA$83,'phius_monthly climate data'!$CD210,FALSE),"")</f>
        <v/>
      </c>
      <c r="CD215" s="215">
        <v>213</v>
      </c>
    </row>
    <row r="216" spans="1:82" x14ac:dyDescent="0.35">
      <c r="A216" s="211" t="s">
        <v>77</v>
      </c>
      <c r="B216" s="211" t="s">
        <v>14</v>
      </c>
      <c r="C216" s="216" t="s">
        <v>283</v>
      </c>
      <c r="D216" s="222">
        <v>97.6</v>
      </c>
      <c r="E216" s="222">
        <v>33.200000000000003</v>
      </c>
      <c r="F216" s="211">
        <v>41</v>
      </c>
      <c r="I216" s="218" t="str">
        <f>IFERROR(HLOOKUP('Air Source Heat Pump(s)'!D216,'phius_monthly climate data'!$L$3:$CA$83,'phius_monthly climate data'!$CD211,FALSE),"")</f>
        <v/>
      </c>
      <c r="CD216" s="215">
        <v>214</v>
      </c>
    </row>
    <row r="217" spans="1:82" x14ac:dyDescent="0.35">
      <c r="A217" s="211" t="s">
        <v>77</v>
      </c>
      <c r="B217" s="211" t="s">
        <v>14</v>
      </c>
      <c r="C217" s="216" t="s">
        <v>284</v>
      </c>
      <c r="D217" s="222">
        <v>78.599999999999994</v>
      </c>
      <c r="E217" s="222">
        <v>36.4</v>
      </c>
      <c r="F217" s="211">
        <v>46</v>
      </c>
      <c r="I217" s="218" t="str">
        <f>IFERROR(HLOOKUP('Air Source Heat Pump(s)'!D217,'phius_monthly climate data'!$L$3:$CA$83,'phius_monthly climate data'!$CD212,FALSE),"")</f>
        <v/>
      </c>
      <c r="CD217" s="215">
        <v>215</v>
      </c>
    </row>
    <row r="218" spans="1:82" x14ac:dyDescent="0.35">
      <c r="A218" s="211" t="s">
        <v>77</v>
      </c>
      <c r="B218" s="211" t="s">
        <v>14</v>
      </c>
      <c r="C218" s="216" t="s">
        <v>285</v>
      </c>
      <c r="D218" s="222">
        <v>80.599999999999994</v>
      </c>
      <c r="E218" s="222">
        <v>46.9</v>
      </c>
      <c r="F218" s="211">
        <v>54</v>
      </c>
      <c r="I218" s="218" t="str">
        <f>IFERROR(HLOOKUP('Air Source Heat Pump(s)'!D218,'phius_monthly climate data'!$L$3:$CA$83,'phius_monthly climate data'!$CD213,FALSE),"")</f>
        <v/>
      </c>
      <c r="CD218" s="215">
        <v>216</v>
      </c>
    </row>
    <row r="219" spans="1:82" x14ac:dyDescent="0.35">
      <c r="A219" s="211" t="s">
        <v>77</v>
      </c>
      <c r="B219" s="211" t="s">
        <v>14</v>
      </c>
      <c r="C219" s="216" t="s">
        <v>286</v>
      </c>
      <c r="D219" s="222">
        <v>87.5</v>
      </c>
      <c r="E219" s="222">
        <v>41.4</v>
      </c>
      <c r="F219" s="211">
        <v>52</v>
      </c>
      <c r="I219" s="218" t="str">
        <f>IFERROR(HLOOKUP('Air Source Heat Pump(s)'!D219,'phius_monthly climate data'!$L$3:$CA$83,'phius_monthly climate data'!$CD214,FALSE),"")</f>
        <v/>
      </c>
      <c r="CD219" s="215">
        <v>217</v>
      </c>
    </row>
    <row r="220" spans="1:82" x14ac:dyDescent="0.35">
      <c r="A220" s="211" t="s">
        <v>77</v>
      </c>
      <c r="B220" s="211" t="s">
        <v>14</v>
      </c>
      <c r="C220" s="216" t="s">
        <v>287</v>
      </c>
      <c r="D220" s="222">
        <v>81.3</v>
      </c>
      <c r="E220" s="222">
        <v>46.2</v>
      </c>
      <c r="F220" s="211">
        <v>51</v>
      </c>
      <c r="I220" s="218" t="str">
        <f>IFERROR(HLOOKUP('Air Source Heat Pump(s)'!D220,'phius_monthly climate data'!$L$3:$CA$83,'phius_monthly climate data'!$CD215,FALSE),"")</f>
        <v/>
      </c>
      <c r="CD220" s="215">
        <v>218</v>
      </c>
    </row>
    <row r="221" spans="1:82" x14ac:dyDescent="0.35">
      <c r="A221" s="211" t="s">
        <v>77</v>
      </c>
      <c r="B221" s="211" t="s">
        <v>14</v>
      </c>
      <c r="C221" s="216" t="s">
        <v>288</v>
      </c>
      <c r="D221" s="222">
        <v>86.5</v>
      </c>
      <c r="E221" s="222">
        <v>43</v>
      </c>
      <c r="F221" s="211">
        <v>50</v>
      </c>
      <c r="I221" s="218" t="str">
        <f>IFERROR(HLOOKUP('Air Source Heat Pump(s)'!D221,'phius_monthly climate data'!$L$3:$CA$83,'phius_monthly climate data'!$CD216,FALSE),"")</f>
        <v/>
      </c>
      <c r="CD221" s="215">
        <v>219</v>
      </c>
    </row>
    <row r="222" spans="1:82" x14ac:dyDescent="0.35">
      <c r="A222" s="211" t="s">
        <v>77</v>
      </c>
      <c r="B222" s="211" t="s">
        <v>14</v>
      </c>
      <c r="C222" s="216" t="s">
        <v>289</v>
      </c>
      <c r="D222" s="222">
        <v>77.900000000000006</v>
      </c>
      <c r="E222" s="222">
        <v>41.6</v>
      </c>
      <c r="F222" s="211">
        <v>47</v>
      </c>
      <c r="I222" s="218" t="str">
        <f>IFERROR(HLOOKUP('Air Source Heat Pump(s)'!D222,'phius_monthly climate data'!$L$3:$CA$83,'phius_monthly climate data'!$CD217,FALSE),"")</f>
        <v/>
      </c>
      <c r="CD222" s="215">
        <v>220</v>
      </c>
    </row>
    <row r="223" spans="1:82" x14ac:dyDescent="0.35">
      <c r="A223" s="211" t="s">
        <v>77</v>
      </c>
      <c r="B223" s="211" t="s">
        <v>14</v>
      </c>
      <c r="C223" s="216" t="s">
        <v>290</v>
      </c>
      <c r="D223" s="222">
        <v>87.8</v>
      </c>
      <c r="E223" s="222">
        <v>37.700000000000003</v>
      </c>
      <c r="F223" s="211">
        <v>46</v>
      </c>
      <c r="I223" s="218" t="str">
        <f>IFERROR(HLOOKUP('Air Source Heat Pump(s)'!D223,'phius_monthly climate data'!$L$3:$CA$83,'phius_monthly climate data'!$CD218,FALSE),"")</f>
        <v/>
      </c>
      <c r="CD223" s="215">
        <v>221</v>
      </c>
    </row>
    <row r="224" spans="1:82" x14ac:dyDescent="0.35">
      <c r="A224" s="211" t="s">
        <v>77</v>
      </c>
      <c r="B224" s="211" t="s">
        <v>14</v>
      </c>
      <c r="C224" s="216" t="s">
        <v>291</v>
      </c>
      <c r="D224" s="222">
        <v>84.3</v>
      </c>
      <c r="E224" s="222">
        <v>36.299999999999997</v>
      </c>
      <c r="F224" s="211">
        <v>47</v>
      </c>
      <c r="CD224" s="215">
        <v>222</v>
      </c>
    </row>
    <row r="225" spans="1:82" x14ac:dyDescent="0.35">
      <c r="A225" s="211" t="s">
        <v>77</v>
      </c>
      <c r="B225" s="211" t="s">
        <v>14</v>
      </c>
      <c r="C225" s="216" t="s">
        <v>292</v>
      </c>
      <c r="D225" s="222">
        <v>89.7</v>
      </c>
      <c r="E225" s="222">
        <v>28</v>
      </c>
      <c r="F225" s="211">
        <v>33</v>
      </c>
      <c r="I225" s="218" t="str">
        <f>IFERROR(HLOOKUP('Air Source Heat Pump(s)'!D224,'phius_monthly climate data'!$L$3:$CA$83,'phius_monthly climate data'!$CD220,FALSE),"")</f>
        <v/>
      </c>
      <c r="CD225" s="215">
        <v>223</v>
      </c>
    </row>
    <row r="226" spans="1:82" x14ac:dyDescent="0.35">
      <c r="A226" s="211" t="s">
        <v>77</v>
      </c>
      <c r="B226" s="211" t="s">
        <v>14</v>
      </c>
      <c r="C226" s="216" t="s">
        <v>1228</v>
      </c>
      <c r="D226" s="222">
        <v>86.3</v>
      </c>
      <c r="E226" s="222">
        <v>44.9</v>
      </c>
      <c r="F226" s="211">
        <v>51.26</v>
      </c>
      <c r="I226" s="218" t="str">
        <f>IFERROR(HLOOKUP('Air Source Heat Pump(s)'!D225,'phius_monthly climate data'!$L$3:$CA$83,'phius_monthly climate data'!$CD221,FALSE),"")</f>
        <v/>
      </c>
      <c r="CD226" s="215">
        <v>224</v>
      </c>
    </row>
    <row r="227" spans="1:82" x14ac:dyDescent="0.35">
      <c r="A227" s="211" t="s">
        <v>77</v>
      </c>
      <c r="B227" s="211" t="s">
        <v>14</v>
      </c>
      <c r="C227" s="216" t="s">
        <v>293</v>
      </c>
      <c r="D227" s="222">
        <v>79.7</v>
      </c>
      <c r="E227" s="222">
        <v>37</v>
      </c>
      <c r="F227" s="211">
        <v>48</v>
      </c>
      <c r="I227" s="218" t="str">
        <f>IFERROR(HLOOKUP('Air Source Heat Pump(s)'!D226,'phius_monthly climate data'!$L$3:$CA$83,'phius_monthly climate data'!$CD222,FALSE),"")</f>
        <v/>
      </c>
      <c r="CD227" s="215">
        <v>225</v>
      </c>
    </row>
    <row r="228" spans="1:82" x14ac:dyDescent="0.35">
      <c r="A228" s="211" t="s">
        <v>77</v>
      </c>
      <c r="B228" s="211" t="s">
        <v>14</v>
      </c>
      <c r="C228" s="216" t="s">
        <v>294</v>
      </c>
      <c r="D228" s="222">
        <v>80</v>
      </c>
      <c r="E228" s="222">
        <v>35.5</v>
      </c>
      <c r="F228" s="211">
        <v>46</v>
      </c>
      <c r="I228" s="218" t="str">
        <f>IFERROR(HLOOKUP('Air Source Heat Pump(s)'!D227,'phius_monthly climate data'!$L$3:$CA$83,'phius_monthly climate data'!$CD223,FALSE),"")</f>
        <v/>
      </c>
      <c r="CD228" s="215">
        <v>226</v>
      </c>
    </row>
    <row r="229" spans="1:82" x14ac:dyDescent="0.35">
      <c r="A229" s="211" t="s">
        <v>77</v>
      </c>
      <c r="B229" s="211" t="s">
        <v>14</v>
      </c>
      <c r="C229" s="216" t="s">
        <v>295</v>
      </c>
      <c r="D229" s="222">
        <v>81.5</v>
      </c>
      <c r="E229" s="222">
        <v>45</v>
      </c>
      <c r="F229" s="211">
        <v>52</v>
      </c>
      <c r="CD229" s="215">
        <v>227</v>
      </c>
    </row>
    <row r="230" spans="1:82" x14ac:dyDescent="0.35">
      <c r="A230" s="211" t="s">
        <v>77</v>
      </c>
      <c r="B230" s="211" t="s">
        <v>14</v>
      </c>
      <c r="C230" s="216" t="s">
        <v>296</v>
      </c>
      <c r="D230" s="222">
        <v>90.9</v>
      </c>
      <c r="E230" s="222">
        <v>31.2</v>
      </c>
      <c r="F230" s="211">
        <v>40</v>
      </c>
      <c r="I230" s="218" t="str">
        <f>IFERROR(HLOOKUP('Air Source Heat Pump(s)'!D228,'phius_monthly climate data'!$L$3:$CA$83,'phius_monthly climate data'!$CD225,FALSE),"")</f>
        <v/>
      </c>
      <c r="CD230" s="215">
        <v>228</v>
      </c>
    </row>
    <row r="231" spans="1:82" x14ac:dyDescent="0.35">
      <c r="A231" s="211" t="s">
        <v>77</v>
      </c>
      <c r="B231" s="211" t="s">
        <v>14</v>
      </c>
      <c r="C231" s="216" t="s">
        <v>1227</v>
      </c>
      <c r="D231" s="222">
        <v>82.2</v>
      </c>
      <c r="E231" s="222">
        <v>9.1</v>
      </c>
      <c r="F231" s="211">
        <v>19.22</v>
      </c>
      <c r="I231" s="218" t="str">
        <f>IFERROR(HLOOKUP('Air Source Heat Pump(s)'!D229,'phius_monthly climate data'!$L$3:$CA$83,'phius_monthly climate data'!$CD226,FALSE),"")</f>
        <v/>
      </c>
      <c r="CD231" s="215">
        <v>229</v>
      </c>
    </row>
    <row r="232" spans="1:82" x14ac:dyDescent="0.35">
      <c r="A232" s="211" t="s">
        <v>77</v>
      </c>
      <c r="B232" s="211" t="s">
        <v>14</v>
      </c>
      <c r="C232" s="216" t="s">
        <v>297</v>
      </c>
      <c r="D232" s="222">
        <v>97.9</v>
      </c>
      <c r="E232" s="222">
        <v>32.700000000000003</v>
      </c>
      <c r="F232" s="211">
        <v>40</v>
      </c>
      <c r="I232" s="218" t="str">
        <f>IFERROR(HLOOKUP('Air Source Heat Pump(s)'!D230,'phius_monthly climate data'!$L$3:$CA$83,'phius_monthly climate data'!$CD227,FALSE),"")</f>
        <v/>
      </c>
      <c r="CD232" s="215">
        <v>230</v>
      </c>
    </row>
    <row r="233" spans="1:82" x14ac:dyDescent="0.35">
      <c r="A233" s="211" t="s">
        <v>77</v>
      </c>
      <c r="B233" s="211" t="s">
        <v>14</v>
      </c>
      <c r="C233" s="216" t="s">
        <v>298</v>
      </c>
      <c r="D233" s="222">
        <v>93.6</v>
      </c>
      <c r="E233" s="222">
        <v>35</v>
      </c>
      <c r="F233" s="211">
        <v>42</v>
      </c>
      <c r="CD233" s="215">
        <v>231</v>
      </c>
    </row>
    <row r="234" spans="1:82" x14ac:dyDescent="0.35">
      <c r="A234" s="211" t="s">
        <v>77</v>
      </c>
      <c r="B234" s="211" t="s">
        <v>14</v>
      </c>
      <c r="C234" s="216" t="s">
        <v>299</v>
      </c>
      <c r="D234" s="222">
        <v>85.6</v>
      </c>
      <c r="E234" s="222">
        <v>6.6</v>
      </c>
      <c r="F234" s="211">
        <v>5</v>
      </c>
      <c r="I234" s="218" t="str">
        <f>IFERROR(HLOOKUP('Air Source Heat Pump(s)'!D231,'phius_monthly climate data'!$L$3:$CA$83,'phius_monthly climate data'!$CD229,FALSE),"")</f>
        <v/>
      </c>
      <c r="CD234" s="215">
        <v>232</v>
      </c>
    </row>
    <row r="235" spans="1:82" x14ac:dyDescent="0.35">
      <c r="A235" s="211" t="s">
        <v>77</v>
      </c>
      <c r="B235" s="211" t="s">
        <v>14</v>
      </c>
      <c r="C235" s="216" t="s">
        <v>1229</v>
      </c>
      <c r="D235" s="222">
        <v>105.8</v>
      </c>
      <c r="E235" s="222">
        <v>34.200000000000003</v>
      </c>
      <c r="F235" s="211">
        <v>42.98</v>
      </c>
      <c r="I235" s="218" t="str">
        <f>IFERROR(HLOOKUP('Air Source Heat Pump(s)'!D232,'phius_monthly climate data'!$L$3:$CA$83,'phius_monthly climate data'!$CD230,FALSE),"")</f>
        <v/>
      </c>
      <c r="CD235" s="215">
        <v>233</v>
      </c>
    </row>
    <row r="236" spans="1:82" x14ac:dyDescent="0.35">
      <c r="A236" s="211" t="s">
        <v>77</v>
      </c>
      <c r="B236" s="211" t="s">
        <v>14</v>
      </c>
      <c r="C236" s="216" t="s">
        <v>300</v>
      </c>
      <c r="D236" s="222">
        <v>97.1</v>
      </c>
      <c r="E236" s="222">
        <v>30.4</v>
      </c>
      <c r="F236" s="211">
        <v>39</v>
      </c>
      <c r="I236" s="218" t="str">
        <f>IFERROR(HLOOKUP('Air Source Heat Pump(s)'!D233,'phius_monthly climate data'!$L$3:$CA$83,'phius_monthly climate data'!$CD231,FALSE),"")</f>
        <v/>
      </c>
      <c r="CD236" s="215">
        <v>234</v>
      </c>
    </row>
    <row r="237" spans="1:82" x14ac:dyDescent="0.35">
      <c r="A237" s="211" t="s">
        <v>77</v>
      </c>
      <c r="B237" s="211" t="s">
        <v>14</v>
      </c>
      <c r="C237" s="216" t="s">
        <v>301</v>
      </c>
      <c r="D237" s="222">
        <v>96.7</v>
      </c>
      <c r="E237" s="222">
        <v>40.6</v>
      </c>
      <c r="F237" s="211">
        <v>50</v>
      </c>
      <c r="I237" s="218" t="str">
        <f>IFERROR(HLOOKUP('Air Source Heat Pump(s)'!D234,'phius_monthly climate data'!$L$3:$CA$83,'phius_monthly climate data'!$CD232,FALSE),"")</f>
        <v/>
      </c>
      <c r="CD237" s="215">
        <v>235</v>
      </c>
    </row>
    <row r="238" spans="1:82" x14ac:dyDescent="0.35">
      <c r="A238" s="211" t="s">
        <v>77</v>
      </c>
      <c r="B238" s="211" t="s">
        <v>14</v>
      </c>
      <c r="C238" s="216" t="s">
        <v>302</v>
      </c>
      <c r="D238" s="222">
        <v>98.7</v>
      </c>
      <c r="E238" s="222">
        <v>32.4</v>
      </c>
      <c r="F238" s="211">
        <v>30</v>
      </c>
      <c r="I238" s="218" t="str">
        <f>IFERROR(HLOOKUP('Air Source Heat Pump(s)'!D235,'phius_monthly climate data'!$L$3:$CA$83,'phius_monthly climate data'!$CD233,FALSE),"")</f>
        <v/>
      </c>
      <c r="CD238" s="215">
        <v>236</v>
      </c>
    </row>
    <row r="239" spans="1:82" x14ac:dyDescent="0.35">
      <c r="A239" s="211" t="s">
        <v>77</v>
      </c>
      <c r="B239" s="211" t="s">
        <v>14</v>
      </c>
      <c r="C239" s="216" t="s">
        <v>303</v>
      </c>
      <c r="D239" s="222">
        <v>99</v>
      </c>
      <c r="E239" s="222">
        <v>33</v>
      </c>
      <c r="F239" s="211">
        <v>40</v>
      </c>
      <c r="I239" s="218" t="str">
        <f>IFERROR(HLOOKUP('Air Source Heat Pump(s)'!D236,'phius_monthly climate data'!$L$3:$CA$83,'phius_monthly climate data'!$CD234,FALSE),"")</f>
        <v/>
      </c>
      <c r="CD239" s="215">
        <v>237</v>
      </c>
    </row>
    <row r="240" spans="1:82" x14ac:dyDescent="0.35">
      <c r="A240" s="211" t="s">
        <v>77</v>
      </c>
      <c r="B240" s="211" t="s">
        <v>15</v>
      </c>
      <c r="C240" s="216" t="s">
        <v>304</v>
      </c>
      <c r="D240" s="222">
        <v>92.6</v>
      </c>
      <c r="E240" s="222">
        <v>4.0999999999999996</v>
      </c>
      <c r="F240" s="211">
        <v>16</v>
      </c>
      <c r="I240" s="218" t="str">
        <f>IFERROR(HLOOKUP('Air Source Heat Pump(s)'!D237,'phius_monthly climate data'!$L$3:$CA$83,'phius_monthly climate data'!$CD235,FALSE),"")</f>
        <v/>
      </c>
      <c r="CD240" s="215">
        <v>238</v>
      </c>
    </row>
    <row r="241" spans="1:82" x14ac:dyDescent="0.35">
      <c r="A241" s="211" t="s">
        <v>77</v>
      </c>
      <c r="B241" s="211" t="s">
        <v>15</v>
      </c>
      <c r="C241" s="216" t="s">
        <v>305</v>
      </c>
      <c r="D241" s="222">
        <v>83.5</v>
      </c>
      <c r="E241" s="222">
        <v>-10</v>
      </c>
      <c r="F241" s="211">
        <v>-1</v>
      </c>
      <c r="I241" s="218" t="str">
        <f>IFERROR(HLOOKUP('Air Source Heat Pump(s)'!D238,'phius_monthly climate data'!$L$3:$CA$83,'phius_monthly climate data'!$CD236,FALSE),"")</f>
        <v/>
      </c>
      <c r="CD241" s="215">
        <v>239</v>
      </c>
    </row>
    <row r="242" spans="1:82" x14ac:dyDescent="0.35">
      <c r="A242" s="211" t="s">
        <v>77</v>
      </c>
      <c r="B242" s="211" t="s">
        <v>15</v>
      </c>
      <c r="C242" s="216" t="s">
        <v>306</v>
      </c>
      <c r="D242" s="222">
        <v>81.599999999999994</v>
      </c>
      <c r="E242" s="222">
        <v>0.2</v>
      </c>
      <c r="F242" s="211">
        <v>9</v>
      </c>
      <c r="I242" s="218" t="str">
        <f>IFERROR(HLOOKUP('Air Source Heat Pump(s)'!D239,'phius_monthly climate data'!$L$3:$CA$83,'phius_monthly climate data'!$CD237,FALSE),"")</f>
        <v/>
      </c>
      <c r="CD242" s="215">
        <v>240</v>
      </c>
    </row>
    <row r="243" spans="1:82" x14ac:dyDescent="0.35">
      <c r="A243" s="211" t="s">
        <v>77</v>
      </c>
      <c r="B243" s="211" t="s">
        <v>15</v>
      </c>
      <c r="C243" s="216" t="s">
        <v>307</v>
      </c>
      <c r="D243" s="222">
        <v>90.6</v>
      </c>
      <c r="E243" s="222">
        <v>7.2</v>
      </c>
      <c r="F243" s="211">
        <v>-1</v>
      </c>
      <c r="I243" s="218" t="str">
        <f>IFERROR(HLOOKUP('Air Source Heat Pump(s)'!D240,'phius_monthly climate data'!$L$3:$CA$83,'phius_monthly climate data'!$CD238,FALSE),"")</f>
        <v/>
      </c>
      <c r="CD243" s="215">
        <v>241</v>
      </c>
    </row>
    <row r="244" spans="1:82" x14ac:dyDescent="0.35">
      <c r="A244" s="211" t="s">
        <v>87</v>
      </c>
      <c r="B244" s="211" t="s">
        <v>1209</v>
      </c>
      <c r="C244" s="216" t="s">
        <v>308</v>
      </c>
      <c r="D244" s="222">
        <v>92.8</v>
      </c>
      <c r="E244" s="222">
        <v>73.599999999999994</v>
      </c>
      <c r="F244" s="211">
        <v>80</v>
      </c>
      <c r="I244" s="218" t="str">
        <f>IFERROR(HLOOKUP('Air Source Heat Pump(s)'!D241,'phius_monthly climate data'!$L$3:$CA$83,'phius_monthly climate data'!$CD239,FALSE),"")</f>
        <v/>
      </c>
      <c r="CD244" s="215">
        <v>242</v>
      </c>
    </row>
    <row r="245" spans="1:82" x14ac:dyDescent="0.35">
      <c r="A245" s="211" t="s">
        <v>77</v>
      </c>
      <c r="B245" s="211" t="s">
        <v>15</v>
      </c>
      <c r="C245" s="216" t="s">
        <v>309</v>
      </c>
      <c r="D245" s="222">
        <v>93.2</v>
      </c>
      <c r="E245" s="222">
        <v>-2.2000000000000002</v>
      </c>
      <c r="F245" s="211">
        <v>9</v>
      </c>
      <c r="I245" s="218" t="str">
        <f>IFERROR(HLOOKUP('Air Source Heat Pump(s)'!D242,'phius_monthly climate data'!$L$3:$CA$83,'phius_monthly climate data'!$CD240,FALSE),"")</f>
        <v/>
      </c>
      <c r="CD245" s="215">
        <v>243</v>
      </c>
    </row>
    <row r="246" spans="1:82" x14ac:dyDescent="0.35">
      <c r="A246" s="211" t="s">
        <v>87</v>
      </c>
      <c r="B246" s="211" t="s">
        <v>1209</v>
      </c>
      <c r="C246" s="216" t="s">
        <v>310</v>
      </c>
      <c r="D246" s="222">
        <v>89.1</v>
      </c>
      <c r="E246" s="222">
        <v>64.400000000000006</v>
      </c>
      <c r="F246" s="211">
        <v>72</v>
      </c>
      <c r="I246" s="218" t="str">
        <f>IFERROR(HLOOKUP('Air Source Heat Pump(s)'!D243,'phius_monthly climate data'!$L$3:$CA$83,'phius_monthly climate data'!$CD241,FALSE),"")</f>
        <v/>
      </c>
      <c r="CD246" s="215">
        <v>244</v>
      </c>
    </row>
    <row r="247" spans="1:82" x14ac:dyDescent="0.35">
      <c r="A247" s="211" t="s">
        <v>87</v>
      </c>
      <c r="B247" s="211" t="s">
        <v>1209</v>
      </c>
      <c r="C247" s="216" t="s">
        <v>311</v>
      </c>
      <c r="D247" s="222">
        <v>90</v>
      </c>
      <c r="E247" s="222">
        <v>75</v>
      </c>
      <c r="F247" s="211">
        <v>80</v>
      </c>
      <c r="I247" s="218" t="str">
        <f>IFERROR(HLOOKUP('Air Source Heat Pump(s)'!D244,'phius_monthly climate data'!$L$3:$CA$83,'phius_monthly climate data'!$CD242,FALSE),"")</f>
        <v/>
      </c>
      <c r="CD247" s="215">
        <v>245</v>
      </c>
    </row>
    <row r="248" spans="1:82" x14ac:dyDescent="0.35">
      <c r="A248" s="211" t="s">
        <v>77</v>
      </c>
      <c r="B248" s="211" t="s">
        <v>15</v>
      </c>
      <c r="C248" s="216" t="s">
        <v>312</v>
      </c>
      <c r="D248" s="222">
        <v>88.3</v>
      </c>
      <c r="E248" s="222">
        <v>7</v>
      </c>
      <c r="F248" s="211">
        <v>15</v>
      </c>
      <c r="I248" s="218" t="str">
        <f>IFERROR(HLOOKUP('Air Source Heat Pump(s)'!D245,'phius_monthly climate data'!$L$3:$CA$83,'phius_monthly climate data'!$CD243,FALSE),"")</f>
        <v/>
      </c>
      <c r="CD248" s="215">
        <v>246</v>
      </c>
    </row>
    <row r="249" spans="1:82" x14ac:dyDescent="0.35">
      <c r="A249" s="211" t="s">
        <v>77</v>
      </c>
      <c r="B249" s="211" t="s">
        <v>15</v>
      </c>
      <c r="C249" s="216" t="s">
        <v>313</v>
      </c>
      <c r="D249" s="222">
        <v>91.2</v>
      </c>
      <c r="E249" s="222">
        <v>6.5</v>
      </c>
      <c r="F249" s="211">
        <v>19</v>
      </c>
      <c r="I249" s="218" t="str">
        <f>IFERROR(HLOOKUP('Air Source Heat Pump(s)'!D246,'phius_monthly climate data'!$L$3:$CA$83,'phius_monthly climate data'!$CD244,FALSE),"")</f>
        <v/>
      </c>
      <c r="CD249" s="215">
        <v>247</v>
      </c>
    </row>
    <row r="250" spans="1:82" x14ac:dyDescent="0.35">
      <c r="A250" s="211" t="s">
        <v>77</v>
      </c>
      <c r="B250" s="211" t="s">
        <v>15</v>
      </c>
      <c r="C250" s="216" t="s">
        <v>314</v>
      </c>
      <c r="D250" s="222">
        <v>88.3</v>
      </c>
      <c r="E250" s="222">
        <v>-8.6</v>
      </c>
      <c r="F250" s="211">
        <v>2</v>
      </c>
      <c r="I250" s="218" t="str">
        <f>IFERROR(HLOOKUP('Air Source Heat Pump(s)'!D247,'phius_monthly climate data'!$L$3:$CA$83,'phius_monthly climate data'!$CD245,FALSE),"")</f>
        <v/>
      </c>
      <c r="CD250" s="215">
        <v>248</v>
      </c>
    </row>
    <row r="251" spans="1:82" x14ac:dyDescent="0.35">
      <c r="A251" s="211" t="s">
        <v>77</v>
      </c>
      <c r="B251" s="211" t="s">
        <v>15</v>
      </c>
      <c r="C251" s="216" t="s">
        <v>315</v>
      </c>
      <c r="D251" s="222">
        <v>92.2</v>
      </c>
      <c r="E251" s="222">
        <v>5.3</v>
      </c>
      <c r="F251" s="211">
        <v>22</v>
      </c>
      <c r="I251" s="218" t="str">
        <f>IFERROR(HLOOKUP('Air Source Heat Pump(s)'!D248,'phius_monthly climate data'!$L$3:$CA$83,'phius_monthly climate data'!$CD246,FALSE),"")</f>
        <v/>
      </c>
      <c r="CD251" s="215">
        <v>249</v>
      </c>
    </row>
    <row r="252" spans="1:82" x14ac:dyDescent="0.35">
      <c r="A252" s="211" t="s">
        <v>77</v>
      </c>
      <c r="B252" s="211" t="s">
        <v>15</v>
      </c>
      <c r="C252" s="216" t="s">
        <v>316</v>
      </c>
      <c r="D252" s="222">
        <v>89.9</v>
      </c>
      <c r="E252" s="222">
        <v>5.8</v>
      </c>
      <c r="F252" s="211">
        <v>11</v>
      </c>
      <c r="I252" s="218" t="str">
        <f>IFERROR(HLOOKUP('Air Source Heat Pump(s)'!D249,'phius_monthly climate data'!$L$3:$CA$83,'phius_monthly climate data'!$CD247,FALSE),"")</f>
        <v/>
      </c>
      <c r="CD252" s="215">
        <v>250</v>
      </c>
    </row>
    <row r="253" spans="1:82" x14ac:dyDescent="0.35">
      <c r="A253" s="211" t="s">
        <v>77</v>
      </c>
      <c r="B253" s="211" t="s">
        <v>15</v>
      </c>
      <c r="C253" s="216" t="s">
        <v>317</v>
      </c>
      <c r="D253" s="222">
        <v>88</v>
      </c>
      <c r="E253" s="222">
        <v>4.5999999999999996</v>
      </c>
      <c r="F253" s="211">
        <v>9</v>
      </c>
      <c r="I253" s="218" t="str">
        <f>IFERROR(HLOOKUP('Air Source Heat Pump(s)'!D250,'phius_monthly climate data'!$L$3:$CA$83,'phius_monthly climate data'!$CD248,FALSE),"")</f>
        <v/>
      </c>
      <c r="CD253" s="215">
        <v>251</v>
      </c>
    </row>
    <row r="254" spans="1:82" x14ac:dyDescent="0.35">
      <c r="A254" s="211" t="s">
        <v>77</v>
      </c>
      <c r="B254" s="211" t="s">
        <v>15</v>
      </c>
      <c r="C254" s="216" t="s">
        <v>318</v>
      </c>
      <c r="D254" s="222">
        <v>86.3</v>
      </c>
      <c r="E254" s="222">
        <v>0.2</v>
      </c>
      <c r="F254" s="211">
        <v>-1</v>
      </c>
      <c r="I254" s="218" t="str">
        <f>IFERROR(HLOOKUP('Air Source Heat Pump(s)'!D251,'phius_monthly climate data'!$L$3:$CA$83,'phius_monthly climate data'!$CD249,FALSE),"")</f>
        <v/>
      </c>
      <c r="CD254" s="215">
        <v>252</v>
      </c>
    </row>
    <row r="255" spans="1:82" x14ac:dyDescent="0.35">
      <c r="A255" s="211" t="s">
        <v>77</v>
      </c>
      <c r="B255" s="211" t="s">
        <v>15</v>
      </c>
      <c r="C255" s="216" t="s">
        <v>319</v>
      </c>
      <c r="D255" s="222">
        <v>90.9</v>
      </c>
      <c r="E255" s="222">
        <v>5.5</v>
      </c>
      <c r="F255" s="211">
        <v>-4</v>
      </c>
      <c r="I255" s="218" t="str">
        <f>IFERROR(HLOOKUP('Air Source Heat Pump(s)'!D252,'phius_monthly climate data'!$L$3:$CA$83,'phius_monthly climate data'!$CD250,FALSE),"")</f>
        <v/>
      </c>
      <c r="CD255" s="215">
        <v>253</v>
      </c>
    </row>
    <row r="256" spans="1:82" x14ac:dyDescent="0.35">
      <c r="A256" s="211" t="s">
        <v>77</v>
      </c>
      <c r="B256" s="211" t="s">
        <v>15</v>
      </c>
      <c r="C256" s="216" t="s">
        <v>320</v>
      </c>
      <c r="D256" s="222">
        <v>95.2</v>
      </c>
      <c r="E256" s="222">
        <v>9.3000000000000007</v>
      </c>
      <c r="F256" s="211">
        <v>19</v>
      </c>
      <c r="I256" s="218" t="str">
        <f>IFERROR(HLOOKUP('Air Source Heat Pump(s)'!D253,'phius_monthly climate data'!$L$3:$CA$83,'phius_monthly climate data'!$CD251,FALSE),"")</f>
        <v/>
      </c>
      <c r="CD256" s="215">
        <v>254</v>
      </c>
    </row>
    <row r="257" spans="1:82" x14ac:dyDescent="0.35">
      <c r="A257" s="211" t="s">
        <v>77</v>
      </c>
      <c r="B257" s="211" t="s">
        <v>15</v>
      </c>
      <c r="C257" s="216" t="s">
        <v>321</v>
      </c>
      <c r="D257" s="222">
        <v>92.6</v>
      </c>
      <c r="E257" s="222">
        <v>0</v>
      </c>
      <c r="F257" s="211">
        <v>-6</v>
      </c>
      <c r="I257" s="218" t="str">
        <f>IFERROR(HLOOKUP('Air Source Heat Pump(s)'!D254,'phius_monthly climate data'!$L$3:$CA$83,'phius_monthly climate data'!$CD252,FALSE),"")</f>
        <v/>
      </c>
      <c r="CD257" s="215">
        <v>255</v>
      </c>
    </row>
    <row r="258" spans="1:82" x14ac:dyDescent="0.35">
      <c r="A258" s="211" t="s">
        <v>77</v>
      </c>
      <c r="B258" s="211" t="s">
        <v>15</v>
      </c>
      <c r="C258" s="216" t="s">
        <v>322</v>
      </c>
      <c r="D258" s="222">
        <v>81.099999999999994</v>
      </c>
      <c r="E258" s="222">
        <v>-10.9</v>
      </c>
      <c r="F258" s="211">
        <v>1</v>
      </c>
      <c r="I258" s="218" t="str">
        <f>IFERROR(HLOOKUP('Air Source Heat Pump(s)'!D255,'phius_monthly climate data'!$L$3:$CA$83,'phius_monthly climate data'!$CD253,FALSE),"")</f>
        <v/>
      </c>
      <c r="CD258" s="215">
        <v>256</v>
      </c>
    </row>
    <row r="259" spans="1:82" x14ac:dyDescent="0.35">
      <c r="A259" s="211" t="s">
        <v>77</v>
      </c>
      <c r="B259" s="211" t="s">
        <v>15</v>
      </c>
      <c r="C259" s="216" t="s">
        <v>323</v>
      </c>
      <c r="D259" s="222">
        <v>84.3</v>
      </c>
      <c r="E259" s="222">
        <v>0.3</v>
      </c>
      <c r="F259" s="211">
        <v>5</v>
      </c>
      <c r="I259" s="218" t="str">
        <f>IFERROR(HLOOKUP('Air Source Heat Pump(s)'!D256,'phius_monthly climate data'!$L$3:$CA$83,'phius_monthly climate data'!$CD254,FALSE),"")</f>
        <v/>
      </c>
      <c r="CD259" s="215">
        <v>257</v>
      </c>
    </row>
    <row r="260" spans="1:82" x14ac:dyDescent="0.35">
      <c r="A260" s="211" t="s">
        <v>77</v>
      </c>
      <c r="B260" s="211" t="s">
        <v>15</v>
      </c>
      <c r="C260" s="216" t="s">
        <v>324</v>
      </c>
      <c r="D260" s="222">
        <v>97.5</v>
      </c>
      <c r="E260" s="222">
        <v>8.1999999999999993</v>
      </c>
      <c r="F260" s="211">
        <v>20</v>
      </c>
      <c r="I260" s="218" t="str">
        <f>IFERROR(HLOOKUP('Air Source Heat Pump(s)'!D257,'phius_monthly climate data'!$L$3:$CA$83,'phius_monthly climate data'!$CD255,FALSE),"")</f>
        <v/>
      </c>
      <c r="CD260" s="215">
        <v>258</v>
      </c>
    </row>
    <row r="261" spans="1:82" x14ac:dyDescent="0.35">
      <c r="A261" s="211" t="s">
        <v>77</v>
      </c>
      <c r="B261" s="211" t="s">
        <v>15</v>
      </c>
      <c r="C261" s="216" t="s">
        <v>325</v>
      </c>
      <c r="D261" s="222">
        <v>98.6</v>
      </c>
      <c r="E261" s="222">
        <v>5.7</v>
      </c>
      <c r="F261" s="211">
        <v>17</v>
      </c>
      <c r="I261" s="218" t="str">
        <f>IFERROR(HLOOKUP('Air Source Heat Pump(s)'!D258,'phius_monthly climate data'!$L$3:$CA$83,'phius_monthly climate data'!$CD256,FALSE),"")</f>
        <v/>
      </c>
      <c r="CD261" s="215">
        <v>259</v>
      </c>
    </row>
    <row r="262" spans="1:82" x14ac:dyDescent="0.35">
      <c r="A262" s="211" t="s">
        <v>77</v>
      </c>
      <c r="B262" s="211" t="s">
        <v>15</v>
      </c>
      <c r="C262" s="216" t="s">
        <v>326</v>
      </c>
      <c r="D262" s="222">
        <v>72.2</v>
      </c>
      <c r="E262" s="222">
        <v>-3.4</v>
      </c>
      <c r="F262" s="211">
        <v>3</v>
      </c>
      <c r="I262" s="218" t="str">
        <f>IFERROR(HLOOKUP('Air Source Heat Pump(s)'!D259,'phius_monthly climate data'!$L$3:$CA$83,'phius_monthly climate data'!$CD257,FALSE),"")</f>
        <v/>
      </c>
      <c r="CD262" s="215">
        <v>260</v>
      </c>
    </row>
    <row r="263" spans="1:82" x14ac:dyDescent="0.35">
      <c r="A263" s="211" t="s">
        <v>77</v>
      </c>
      <c r="B263" s="211" t="s">
        <v>15</v>
      </c>
      <c r="C263" s="216" t="s">
        <v>327</v>
      </c>
      <c r="D263" s="222">
        <v>90.8</v>
      </c>
      <c r="E263" s="222">
        <v>1.2</v>
      </c>
      <c r="F263" s="211">
        <v>8</v>
      </c>
      <c r="I263" s="218" t="str">
        <f>IFERROR(HLOOKUP('Air Source Heat Pump(s)'!D260,'phius_monthly climate data'!$L$3:$CA$83,'phius_monthly climate data'!$CD258,FALSE),"")</f>
        <v/>
      </c>
      <c r="CD263" s="215">
        <v>261</v>
      </c>
    </row>
    <row r="264" spans="1:82" x14ac:dyDescent="0.35">
      <c r="A264" s="211" t="s">
        <v>77</v>
      </c>
      <c r="B264" s="211" t="s">
        <v>15</v>
      </c>
      <c r="C264" s="216" t="s">
        <v>328</v>
      </c>
      <c r="D264" s="222">
        <v>91.3</v>
      </c>
      <c r="E264" s="222">
        <v>8.1999999999999993</v>
      </c>
      <c r="F264" s="211">
        <v>15</v>
      </c>
      <c r="I264" s="218" t="str">
        <f>IFERROR(HLOOKUP('Air Source Heat Pump(s)'!D261,'phius_monthly climate data'!$L$3:$CA$83,'phius_monthly climate data'!$CD259,FALSE),"")</f>
        <v/>
      </c>
      <c r="CD264" s="215">
        <v>262</v>
      </c>
    </row>
    <row r="265" spans="1:82" x14ac:dyDescent="0.35">
      <c r="A265" s="211" t="s">
        <v>77</v>
      </c>
      <c r="B265" s="211" t="s">
        <v>15</v>
      </c>
      <c r="C265" s="216" t="s">
        <v>329</v>
      </c>
      <c r="D265" s="222">
        <v>95.8</v>
      </c>
      <c r="E265" s="222">
        <v>6.5</v>
      </c>
      <c r="F265" s="211">
        <v>13</v>
      </c>
      <c r="I265" s="218" t="str">
        <f>IFERROR(HLOOKUP('Air Source Heat Pump(s)'!D262,'phius_monthly climate data'!$L$3:$CA$83,'phius_monthly climate data'!$CD260,FALSE),"")</f>
        <v/>
      </c>
      <c r="CD265" s="215">
        <v>263</v>
      </c>
    </row>
    <row r="266" spans="1:82" x14ac:dyDescent="0.35">
      <c r="A266" s="211" t="s">
        <v>77</v>
      </c>
      <c r="B266" s="211" t="s">
        <v>15</v>
      </c>
      <c r="C266" s="216" t="s">
        <v>330</v>
      </c>
      <c r="D266" s="222">
        <v>92.6</v>
      </c>
      <c r="E266" s="222">
        <v>4.5999999999999996</v>
      </c>
      <c r="F266" s="211">
        <v>6</v>
      </c>
      <c r="I266" s="218" t="str">
        <f>IFERROR(HLOOKUP('Air Source Heat Pump(s)'!D263,'phius_monthly climate data'!$L$3:$CA$83,'phius_monthly climate data'!$CD261,FALSE),"")</f>
        <v/>
      </c>
      <c r="CD266" s="215">
        <v>264</v>
      </c>
    </row>
    <row r="267" spans="1:82" x14ac:dyDescent="0.35">
      <c r="A267" s="211" t="s">
        <v>77</v>
      </c>
      <c r="B267" s="211" t="s">
        <v>15</v>
      </c>
      <c r="C267" s="216" t="s">
        <v>331</v>
      </c>
      <c r="D267" s="222">
        <v>91.2</v>
      </c>
      <c r="E267" s="222">
        <v>8.9</v>
      </c>
      <c r="F267" s="211">
        <v>6</v>
      </c>
      <c r="I267" s="218" t="str">
        <f>IFERROR(HLOOKUP('Air Source Heat Pump(s)'!D264,'phius_monthly climate data'!$L$3:$CA$83,'phius_monthly climate data'!$CD262,FALSE),"")</f>
        <v/>
      </c>
      <c r="CD267" s="215">
        <v>265</v>
      </c>
    </row>
    <row r="268" spans="1:82" x14ac:dyDescent="0.35">
      <c r="A268" s="211" t="s">
        <v>77</v>
      </c>
      <c r="B268" s="211" t="s">
        <v>16</v>
      </c>
      <c r="C268" s="216" t="s">
        <v>332</v>
      </c>
      <c r="D268" s="222">
        <v>84.9</v>
      </c>
      <c r="E268" s="222">
        <v>15.6</v>
      </c>
      <c r="F268" s="211">
        <v>17</v>
      </c>
      <c r="I268" s="218" t="str">
        <f>IFERROR(HLOOKUP('Air Source Heat Pump(s)'!D265,'phius_monthly climate data'!$L$3:$CA$83,'phius_monthly climate data'!$CD263,FALSE),"")</f>
        <v/>
      </c>
      <c r="CD268" s="215">
        <v>266</v>
      </c>
    </row>
    <row r="269" spans="1:82" x14ac:dyDescent="0.35">
      <c r="A269" s="211" t="s">
        <v>77</v>
      </c>
      <c r="B269" s="211" t="s">
        <v>16</v>
      </c>
      <c r="C269" s="216" t="s">
        <v>333</v>
      </c>
      <c r="D269" s="222">
        <v>85.3</v>
      </c>
      <c r="E269" s="222">
        <v>9.5</v>
      </c>
      <c r="F269" s="211">
        <v>10</v>
      </c>
      <c r="I269" s="218" t="str">
        <f>IFERROR(HLOOKUP('Air Source Heat Pump(s)'!D266,'phius_monthly climate data'!$L$3:$CA$83,'phius_monthly climate data'!$CD264,FALSE),"")</f>
        <v/>
      </c>
      <c r="CD269" s="215">
        <v>267</v>
      </c>
    </row>
    <row r="270" spans="1:82" x14ac:dyDescent="0.35">
      <c r="A270" s="211" t="s">
        <v>77</v>
      </c>
      <c r="B270" s="211" t="s">
        <v>16</v>
      </c>
      <c r="C270" s="216" t="s">
        <v>334</v>
      </c>
      <c r="D270" s="222">
        <v>81.2</v>
      </c>
      <c r="E270" s="222">
        <v>14.3</v>
      </c>
      <c r="F270" s="211">
        <v>14</v>
      </c>
      <c r="I270" s="218" t="str">
        <f>IFERROR(HLOOKUP('Air Source Heat Pump(s)'!D267,'phius_monthly climate data'!$L$3:$CA$83,'phius_monthly climate data'!$CD265,FALSE),"")</f>
        <v/>
      </c>
      <c r="CD270" s="215">
        <v>268</v>
      </c>
    </row>
    <row r="271" spans="1:82" x14ac:dyDescent="0.35">
      <c r="A271" s="211" t="s">
        <v>77</v>
      </c>
      <c r="B271" s="211" t="s">
        <v>16</v>
      </c>
      <c r="C271" s="216" t="s">
        <v>335</v>
      </c>
      <c r="D271" s="222">
        <v>88.4</v>
      </c>
      <c r="E271" s="222">
        <v>9.8000000000000007</v>
      </c>
      <c r="F271" s="211">
        <v>18</v>
      </c>
      <c r="I271" s="218" t="str">
        <f>IFERROR(HLOOKUP('Air Source Heat Pump(s)'!D268,'phius_monthly climate data'!$L$3:$CA$83,'phius_monthly climate data'!$CD266,FALSE),"")</f>
        <v/>
      </c>
      <c r="CD271" s="215">
        <v>269</v>
      </c>
    </row>
    <row r="272" spans="1:82" x14ac:dyDescent="0.35">
      <c r="A272" s="211" t="s">
        <v>77</v>
      </c>
      <c r="B272" s="211" t="s">
        <v>16</v>
      </c>
      <c r="C272" s="216" t="s">
        <v>336</v>
      </c>
      <c r="D272" s="222">
        <v>88.2</v>
      </c>
      <c r="E272" s="222">
        <v>12.2</v>
      </c>
      <c r="F272" s="211">
        <v>11</v>
      </c>
      <c r="I272" s="218" t="str">
        <f>IFERROR(HLOOKUP('Air Source Heat Pump(s)'!D269,'phius_monthly climate data'!$L$3:$CA$83,'phius_monthly climate data'!$CD267,FALSE),"")</f>
        <v/>
      </c>
      <c r="CD272" s="215">
        <v>270</v>
      </c>
    </row>
    <row r="273" spans="1:82" x14ac:dyDescent="0.35">
      <c r="A273" s="211" t="s">
        <v>77</v>
      </c>
      <c r="B273" s="211" t="s">
        <v>16</v>
      </c>
      <c r="C273" s="216" t="s">
        <v>337</v>
      </c>
      <c r="D273" s="222">
        <v>84.6</v>
      </c>
      <c r="E273" s="222">
        <v>14.8</v>
      </c>
      <c r="F273" s="211">
        <v>13</v>
      </c>
      <c r="CD273" s="215">
        <v>271</v>
      </c>
    </row>
    <row r="274" spans="1:82" x14ac:dyDescent="0.35">
      <c r="A274" s="211" t="s">
        <v>77</v>
      </c>
      <c r="B274" s="211" t="s">
        <v>16</v>
      </c>
      <c r="C274" s="216" t="s">
        <v>338</v>
      </c>
      <c r="D274" s="222">
        <v>83.7</v>
      </c>
      <c r="E274" s="222">
        <v>8.8000000000000007</v>
      </c>
      <c r="F274" s="211">
        <v>9</v>
      </c>
      <c r="CD274" s="215">
        <v>272</v>
      </c>
    </row>
    <row r="275" spans="1:82" x14ac:dyDescent="0.35">
      <c r="A275" s="211" t="s">
        <v>77</v>
      </c>
      <c r="B275" s="211" t="s">
        <v>1197</v>
      </c>
      <c r="C275" s="216" t="s">
        <v>1052</v>
      </c>
      <c r="D275" s="222">
        <v>90.9</v>
      </c>
      <c r="E275" s="222">
        <v>17.3</v>
      </c>
      <c r="F275" s="211">
        <v>17</v>
      </c>
      <c r="I275" s="218" t="str">
        <f>IFERROR(HLOOKUP('Air Source Heat Pump(s)'!D270,'phius_monthly climate data'!$L$3:$CA$83,'phius_monthly climate data'!$CD270,FALSE),"")</f>
        <v/>
      </c>
      <c r="CD275" s="215">
        <v>273</v>
      </c>
    </row>
    <row r="276" spans="1:82" x14ac:dyDescent="0.35">
      <c r="A276" s="211" t="s">
        <v>77</v>
      </c>
      <c r="B276" s="211" t="s">
        <v>1197</v>
      </c>
      <c r="C276" s="216" t="s">
        <v>1053</v>
      </c>
      <c r="D276" s="222">
        <v>92</v>
      </c>
      <c r="E276" s="222">
        <v>21.6</v>
      </c>
      <c r="F276" s="211">
        <v>21</v>
      </c>
      <c r="I276" s="218" t="str">
        <f>IFERROR(HLOOKUP('Air Source Heat Pump(s)'!D271,'phius_monthly climate data'!$L$3:$CA$83,'phius_monthly climate data'!$CD271,FALSE),"")</f>
        <v/>
      </c>
      <c r="CD276" s="215">
        <v>274</v>
      </c>
    </row>
    <row r="277" spans="1:82" x14ac:dyDescent="0.35">
      <c r="A277" s="211" t="s">
        <v>77</v>
      </c>
      <c r="B277" s="211" t="s">
        <v>17</v>
      </c>
      <c r="C277" s="216" t="s">
        <v>339</v>
      </c>
      <c r="D277" s="222">
        <v>90</v>
      </c>
      <c r="E277" s="222">
        <v>18.7</v>
      </c>
      <c r="F277" s="211">
        <v>15</v>
      </c>
      <c r="I277" s="218" t="str">
        <f>IFERROR(HLOOKUP('Air Source Heat Pump(s)'!D272,'phius_monthly climate data'!$L$3:$CA$83,'phius_monthly climate data'!$CD272,FALSE),"")</f>
        <v/>
      </c>
      <c r="CD277" s="215">
        <v>275</v>
      </c>
    </row>
    <row r="278" spans="1:82" x14ac:dyDescent="0.35">
      <c r="A278" s="211" t="s">
        <v>77</v>
      </c>
      <c r="B278" s="211" t="s">
        <v>17</v>
      </c>
      <c r="C278" s="216" t="s">
        <v>340</v>
      </c>
      <c r="D278" s="222">
        <v>89.4</v>
      </c>
      <c r="E278" s="222">
        <v>17.7</v>
      </c>
      <c r="F278" s="211">
        <v>14</v>
      </c>
      <c r="I278" s="218" t="str">
        <f>IFERROR(HLOOKUP('Air Source Heat Pump(s)'!D273,'phius_monthly climate data'!$L$3:$CA$83,'phius_monthly climate data'!$CD273,FALSE),"")</f>
        <v/>
      </c>
      <c r="CD278" s="215">
        <v>276</v>
      </c>
    </row>
    <row r="279" spans="1:82" x14ac:dyDescent="0.35">
      <c r="A279" s="211" t="s">
        <v>77</v>
      </c>
      <c r="B279" s="211" t="s">
        <v>18</v>
      </c>
      <c r="C279" s="216" t="s">
        <v>341</v>
      </c>
      <c r="D279" s="222">
        <v>93.6</v>
      </c>
      <c r="E279" s="222">
        <v>27.4</v>
      </c>
      <c r="F279" s="211">
        <v>32</v>
      </c>
      <c r="I279" s="218" t="str">
        <f>IFERROR(HLOOKUP('Air Source Heat Pump(s)'!D274,'phius_monthly climate data'!$L$3:$CA$83,'phius_monthly climate data'!$CD274,FALSE),"")</f>
        <v/>
      </c>
      <c r="CD279" s="215">
        <v>277</v>
      </c>
    </row>
    <row r="280" spans="1:82" x14ac:dyDescent="0.35">
      <c r="A280" s="211" t="s">
        <v>77</v>
      </c>
      <c r="B280" s="211" t="s">
        <v>18</v>
      </c>
      <c r="C280" s="216" t="s">
        <v>342</v>
      </c>
      <c r="D280" s="222">
        <v>90.9</v>
      </c>
      <c r="E280" s="222">
        <v>39.6</v>
      </c>
      <c r="F280" s="211">
        <v>44</v>
      </c>
      <c r="I280" s="218" t="str">
        <f>IFERROR(HLOOKUP('Air Source Heat Pump(s)'!D275,'phius_monthly climate data'!$L$3:$CA$83,'phius_monthly climate data'!$CD275,FALSE),"")</f>
        <v/>
      </c>
      <c r="CD280" s="215">
        <v>278</v>
      </c>
    </row>
    <row r="281" spans="1:82" x14ac:dyDescent="0.35">
      <c r="A281" s="211" t="s">
        <v>77</v>
      </c>
      <c r="B281" s="211" t="s">
        <v>18</v>
      </c>
      <c r="C281" s="216" t="s">
        <v>343</v>
      </c>
      <c r="D281" s="222">
        <v>90.9</v>
      </c>
      <c r="E281" s="222">
        <v>49.8</v>
      </c>
      <c r="F281" s="211">
        <v>51</v>
      </c>
      <c r="I281" s="218" t="str">
        <f>IFERROR(HLOOKUP('Air Source Heat Pump(s)'!D276,'phius_monthly climate data'!$L$3:$CA$83,'phius_monthly climate data'!$CD276,FALSE),"")</f>
        <v/>
      </c>
      <c r="CD281" s="215">
        <v>279</v>
      </c>
    </row>
    <row r="282" spans="1:82" x14ac:dyDescent="0.35">
      <c r="A282" s="211" t="s">
        <v>77</v>
      </c>
      <c r="B282" s="211" t="s">
        <v>18</v>
      </c>
      <c r="C282" s="216" t="s">
        <v>344</v>
      </c>
      <c r="D282" s="222">
        <v>90.6</v>
      </c>
      <c r="E282" s="222">
        <v>52</v>
      </c>
      <c r="F282" s="211">
        <v>58</v>
      </c>
      <c r="I282" s="218" t="str">
        <f>IFERROR(HLOOKUP('Air Source Heat Pump(s)'!D277,'phius_monthly climate data'!$L$3:$CA$83,'phius_monthly climate data'!$CD277,FALSE),"")</f>
        <v/>
      </c>
      <c r="CD282" s="215">
        <v>280</v>
      </c>
    </row>
    <row r="283" spans="1:82" x14ac:dyDescent="0.35">
      <c r="A283" s="211" t="s">
        <v>77</v>
      </c>
      <c r="B283" s="211" t="s">
        <v>18</v>
      </c>
      <c r="C283" s="216" t="s">
        <v>345</v>
      </c>
      <c r="D283" s="222">
        <v>92.4</v>
      </c>
      <c r="E283" s="222">
        <v>46.6</v>
      </c>
      <c r="F283" s="211">
        <v>51</v>
      </c>
      <c r="I283" s="218" t="str">
        <f>IFERROR(HLOOKUP('Air Source Heat Pump(s)'!D278,'phius_monthly climate data'!$L$3:$CA$83,'phius_monthly climate data'!$CD278,FALSE),"")</f>
        <v/>
      </c>
      <c r="CD283" s="215">
        <v>281</v>
      </c>
    </row>
    <row r="284" spans="1:82" x14ac:dyDescent="0.35">
      <c r="A284" s="211" t="s">
        <v>77</v>
      </c>
      <c r="B284" s="211" t="s">
        <v>18</v>
      </c>
      <c r="C284" s="216" t="s">
        <v>346</v>
      </c>
      <c r="D284" s="222">
        <v>92.2</v>
      </c>
      <c r="E284" s="222">
        <v>33.200000000000003</v>
      </c>
      <c r="F284" s="211">
        <v>42</v>
      </c>
      <c r="I284" s="218" t="str">
        <f>IFERROR(HLOOKUP('Air Source Heat Pump(s)'!D279,'phius_monthly climate data'!$L$3:$CA$83,'phius_monthly climate data'!$CD279,FALSE),"")</f>
        <v/>
      </c>
      <c r="CD284" s="215">
        <v>282</v>
      </c>
    </row>
    <row r="285" spans="1:82" x14ac:dyDescent="0.35">
      <c r="A285" s="211" t="s">
        <v>77</v>
      </c>
      <c r="B285" s="211" t="s">
        <v>18</v>
      </c>
      <c r="C285" s="216" t="s">
        <v>347</v>
      </c>
      <c r="D285" s="222">
        <v>90.4</v>
      </c>
      <c r="E285" s="222">
        <v>50.2</v>
      </c>
      <c r="F285" s="211">
        <v>55</v>
      </c>
      <c r="I285" s="218" t="str">
        <f>IFERROR(HLOOKUP('Air Source Heat Pump(s)'!D280,'phius_monthly climate data'!$L$3:$CA$83,'phius_monthly climate data'!$CD280,FALSE),"")</f>
        <v/>
      </c>
      <c r="CD285" s="215">
        <v>283</v>
      </c>
    </row>
    <row r="286" spans="1:82" x14ac:dyDescent="0.35">
      <c r="A286" s="211" t="s">
        <v>77</v>
      </c>
      <c r="B286" s="211" t="s">
        <v>18</v>
      </c>
      <c r="C286" s="216" t="s">
        <v>348</v>
      </c>
      <c r="D286" s="222">
        <v>92.7</v>
      </c>
      <c r="E286" s="222">
        <v>32.799999999999997</v>
      </c>
      <c r="F286" s="211">
        <v>42</v>
      </c>
      <c r="I286" s="218" t="str">
        <f>IFERROR(HLOOKUP('Air Source Heat Pump(s)'!D281,'phius_monthly climate data'!$L$3:$CA$83,'phius_monthly climate data'!$CD281,FALSE),"")</f>
        <v/>
      </c>
      <c r="CD286" s="215">
        <v>284</v>
      </c>
    </row>
    <row r="287" spans="1:82" x14ac:dyDescent="0.35">
      <c r="A287" s="211" t="s">
        <v>77</v>
      </c>
      <c r="B287" s="211" t="s">
        <v>18</v>
      </c>
      <c r="C287" s="216" t="s">
        <v>349</v>
      </c>
      <c r="D287" s="222">
        <v>93.7</v>
      </c>
      <c r="E287" s="222">
        <v>37.5</v>
      </c>
      <c r="F287" s="211">
        <v>43</v>
      </c>
      <c r="I287" s="218" t="str">
        <f>IFERROR(HLOOKUP('Air Source Heat Pump(s)'!D282,'phius_monthly climate data'!$L$3:$CA$83,'phius_monthly climate data'!$CD282,FALSE),"")</f>
        <v/>
      </c>
      <c r="CD287" s="215">
        <v>285</v>
      </c>
    </row>
    <row r="288" spans="1:82" x14ac:dyDescent="0.35">
      <c r="A288" s="211" t="s">
        <v>77</v>
      </c>
      <c r="B288" s="211" t="s">
        <v>18</v>
      </c>
      <c r="C288" s="216" t="s">
        <v>350</v>
      </c>
      <c r="D288" s="222">
        <v>92.2</v>
      </c>
      <c r="E288" s="222">
        <v>36.1</v>
      </c>
      <c r="F288" s="211">
        <v>44</v>
      </c>
      <c r="I288" s="218" t="str">
        <f>IFERROR(HLOOKUP('Air Source Heat Pump(s)'!D283,'phius_monthly climate data'!$L$3:$CA$83,'phius_monthly climate data'!$CD283,FALSE),"")</f>
        <v/>
      </c>
      <c r="CD288" s="215">
        <v>286</v>
      </c>
    </row>
    <row r="289" spans="1:82" x14ac:dyDescent="0.35">
      <c r="A289" s="211" t="s">
        <v>77</v>
      </c>
      <c r="B289" s="211" t="s">
        <v>18</v>
      </c>
      <c r="C289" s="216" t="s">
        <v>351</v>
      </c>
      <c r="D289" s="222">
        <v>90</v>
      </c>
      <c r="E289" s="222">
        <v>57.8</v>
      </c>
      <c r="F289" s="211">
        <v>62</v>
      </c>
      <c r="I289" s="218" t="str">
        <f>IFERROR(HLOOKUP('Air Source Heat Pump(s)'!D284,'phius_monthly climate data'!$L$3:$CA$83,'phius_monthly climate data'!$CD284,FALSE),"")</f>
        <v/>
      </c>
      <c r="CD289" s="215">
        <v>287</v>
      </c>
    </row>
    <row r="290" spans="1:82" x14ac:dyDescent="0.35">
      <c r="A290" s="211" t="s">
        <v>77</v>
      </c>
      <c r="B290" s="211" t="s">
        <v>18</v>
      </c>
      <c r="C290" s="216" t="s">
        <v>352</v>
      </c>
      <c r="D290" s="222">
        <v>90.4</v>
      </c>
      <c r="E290" s="222">
        <v>57.6</v>
      </c>
      <c r="F290" s="211">
        <v>64</v>
      </c>
      <c r="I290" s="218" t="str">
        <f>IFERROR(HLOOKUP('Air Source Heat Pump(s)'!D285,'phius_monthly climate data'!$L$3:$CA$83,'phius_monthly climate data'!$CD285,FALSE),"")</f>
        <v/>
      </c>
      <c r="CD290" s="215">
        <v>288</v>
      </c>
    </row>
    <row r="291" spans="1:82" x14ac:dyDescent="0.35">
      <c r="A291" s="211" t="s">
        <v>77</v>
      </c>
      <c r="B291" s="211" t="s">
        <v>18</v>
      </c>
      <c r="C291" s="216" t="s">
        <v>353</v>
      </c>
      <c r="D291" s="222">
        <v>92.2</v>
      </c>
      <c r="E291" s="222">
        <v>43</v>
      </c>
      <c r="F291" s="211">
        <v>48</v>
      </c>
      <c r="I291" s="218" t="str">
        <f>IFERROR(HLOOKUP('Air Source Heat Pump(s)'!D286,'phius_monthly climate data'!$L$3:$CA$83,'phius_monthly climate data'!$CD286,FALSE),"")</f>
        <v/>
      </c>
      <c r="CD291" s="215">
        <v>289</v>
      </c>
    </row>
    <row r="292" spans="1:82" x14ac:dyDescent="0.35">
      <c r="A292" s="211" t="s">
        <v>77</v>
      </c>
      <c r="B292" s="211" t="s">
        <v>18</v>
      </c>
      <c r="C292" s="216" t="s">
        <v>354</v>
      </c>
      <c r="D292" s="222">
        <v>91.1</v>
      </c>
      <c r="E292" s="222">
        <v>55.9</v>
      </c>
      <c r="F292" s="211">
        <v>59</v>
      </c>
      <c r="I292" s="218" t="str">
        <f>IFERROR(HLOOKUP('Air Source Heat Pump(s)'!D287,'phius_monthly climate data'!$L$3:$CA$83,'phius_monthly climate data'!$CD287,FALSE),"")</f>
        <v/>
      </c>
      <c r="CD292" s="215">
        <v>290</v>
      </c>
    </row>
    <row r="293" spans="1:82" x14ac:dyDescent="0.35">
      <c r="A293" s="211" t="s">
        <v>77</v>
      </c>
      <c r="B293" s="211" t="s">
        <v>18</v>
      </c>
      <c r="C293" s="216" t="s">
        <v>355</v>
      </c>
      <c r="D293" s="222">
        <v>91.6</v>
      </c>
      <c r="E293" s="222">
        <v>39</v>
      </c>
      <c r="F293" s="211">
        <v>49</v>
      </c>
      <c r="I293" s="218" t="str">
        <f>IFERROR(HLOOKUP('Air Source Heat Pump(s)'!D288,'phius_monthly climate data'!$L$3:$CA$83,'phius_monthly climate data'!$CD288,FALSE),"")</f>
        <v/>
      </c>
      <c r="CD293" s="215">
        <v>291</v>
      </c>
    </row>
    <row r="294" spans="1:82" x14ac:dyDescent="0.35">
      <c r="A294" s="211" t="s">
        <v>77</v>
      </c>
      <c r="B294" s="211" t="s">
        <v>18</v>
      </c>
      <c r="C294" s="216" t="s">
        <v>356</v>
      </c>
      <c r="D294" s="222">
        <v>90.4</v>
      </c>
      <c r="E294" s="222">
        <v>43</v>
      </c>
      <c r="F294" s="211">
        <v>51</v>
      </c>
      <c r="I294" s="218" t="str">
        <f>IFERROR(HLOOKUP('Air Source Heat Pump(s)'!D289,'phius_monthly climate data'!$L$3:$CA$83,'phius_monthly climate data'!$CD289,FALSE),"")</f>
        <v/>
      </c>
      <c r="CD294" s="215">
        <v>292</v>
      </c>
    </row>
    <row r="295" spans="1:82" x14ac:dyDescent="0.35">
      <c r="A295" s="211" t="s">
        <v>77</v>
      </c>
      <c r="B295" s="211" t="s">
        <v>18</v>
      </c>
      <c r="C295" s="216" t="s">
        <v>357</v>
      </c>
      <c r="D295" s="222">
        <v>90.8</v>
      </c>
      <c r="E295" s="222">
        <v>52.6</v>
      </c>
      <c r="F295" s="211">
        <v>61</v>
      </c>
      <c r="I295" s="218" t="str">
        <f>IFERROR(HLOOKUP('Air Source Heat Pump(s)'!D290,'phius_monthly climate data'!$L$3:$CA$83,'phius_monthly climate data'!$CD290,FALSE),"")</f>
        <v/>
      </c>
      <c r="CD295" s="215">
        <v>293</v>
      </c>
    </row>
    <row r="296" spans="1:82" x14ac:dyDescent="0.35">
      <c r="A296" s="211" t="s">
        <v>77</v>
      </c>
      <c r="B296" s="211" t="s">
        <v>18</v>
      </c>
      <c r="C296" s="216" t="s">
        <v>358</v>
      </c>
      <c r="D296" s="222">
        <v>91.4</v>
      </c>
      <c r="E296" s="222">
        <v>49.6</v>
      </c>
      <c r="F296" s="211">
        <v>57</v>
      </c>
      <c r="I296" s="218" t="str">
        <f>IFERROR(HLOOKUP('Air Source Heat Pump(s)'!D291,'phius_monthly climate data'!$L$3:$CA$83,'phius_monthly climate data'!$CD291,FALSE),"")</f>
        <v/>
      </c>
      <c r="CD296" s="215">
        <v>294</v>
      </c>
    </row>
    <row r="297" spans="1:82" x14ac:dyDescent="0.35">
      <c r="A297" s="211" t="s">
        <v>77</v>
      </c>
      <c r="B297" s="211" t="s">
        <v>18</v>
      </c>
      <c r="C297" s="216" t="s">
        <v>359</v>
      </c>
      <c r="D297" s="222">
        <v>90.9</v>
      </c>
      <c r="E297" s="222">
        <v>50.6</v>
      </c>
      <c r="F297" s="211">
        <v>58</v>
      </c>
      <c r="I297" s="218" t="str">
        <f>IFERROR(HLOOKUP('Air Source Heat Pump(s)'!D292,'phius_monthly climate data'!$L$3:$CA$83,'phius_monthly climate data'!$CD292,FALSE),"")</f>
        <v/>
      </c>
      <c r="CD297" s="215">
        <v>295</v>
      </c>
    </row>
    <row r="298" spans="1:82" x14ac:dyDescent="0.35">
      <c r="A298" s="211" t="s">
        <v>77</v>
      </c>
      <c r="B298" s="211" t="s">
        <v>18</v>
      </c>
      <c r="C298" s="216" t="s">
        <v>360</v>
      </c>
      <c r="D298" s="222">
        <v>90.5</v>
      </c>
      <c r="E298" s="222">
        <v>47.5</v>
      </c>
      <c r="F298" s="211">
        <v>55</v>
      </c>
      <c r="I298" s="218" t="str">
        <f>IFERROR(HLOOKUP('Air Source Heat Pump(s)'!D293,'phius_monthly climate data'!$L$3:$CA$83,'phius_monthly climate data'!$CD293,FALSE),"")</f>
        <v/>
      </c>
      <c r="CD298" s="215">
        <v>296</v>
      </c>
    </row>
    <row r="299" spans="1:82" x14ac:dyDescent="0.35">
      <c r="A299" s="211" t="s">
        <v>77</v>
      </c>
      <c r="B299" s="211" t="s">
        <v>18</v>
      </c>
      <c r="C299" s="216" t="s">
        <v>361</v>
      </c>
      <c r="D299" s="222">
        <v>90.4</v>
      </c>
      <c r="E299" s="222">
        <v>43.1</v>
      </c>
      <c r="F299" s="211">
        <v>47</v>
      </c>
      <c r="I299" s="218" t="str">
        <f>IFERROR(HLOOKUP('Air Source Heat Pump(s)'!D294,'phius_monthly climate data'!$L$3:$CA$83,'phius_monthly climate data'!$CD294,FALSE),"")</f>
        <v/>
      </c>
      <c r="CD299" s="215">
        <v>297</v>
      </c>
    </row>
    <row r="300" spans="1:82" x14ac:dyDescent="0.35">
      <c r="A300" s="211" t="s">
        <v>77</v>
      </c>
      <c r="B300" s="211" t="s">
        <v>18</v>
      </c>
      <c r="C300" s="216" t="s">
        <v>362</v>
      </c>
      <c r="D300" s="222">
        <v>91.4</v>
      </c>
      <c r="E300" s="222">
        <v>33.9</v>
      </c>
      <c r="F300" s="211">
        <v>37</v>
      </c>
      <c r="I300" s="218" t="str">
        <f>IFERROR(HLOOKUP('Air Source Heat Pump(s)'!D295,'phius_monthly climate data'!$L$3:$CA$83,'phius_monthly climate data'!$CD295,FALSE),"")</f>
        <v/>
      </c>
      <c r="CD300" s="215">
        <v>298</v>
      </c>
    </row>
    <row r="301" spans="1:82" x14ac:dyDescent="0.35">
      <c r="A301" s="211" t="s">
        <v>77</v>
      </c>
      <c r="B301" s="211" t="s">
        <v>18</v>
      </c>
      <c r="C301" s="216" t="s">
        <v>363</v>
      </c>
      <c r="D301" s="222">
        <v>92.4</v>
      </c>
      <c r="E301" s="222">
        <v>43.2</v>
      </c>
      <c r="F301" s="211">
        <v>45</v>
      </c>
      <c r="I301" s="218" t="str">
        <f>IFERROR(HLOOKUP('Air Source Heat Pump(s)'!D296,'phius_monthly climate data'!$L$3:$CA$83,'phius_monthly climate data'!$CD296,FALSE),"")</f>
        <v/>
      </c>
      <c r="CD301" s="215">
        <v>299</v>
      </c>
    </row>
    <row r="302" spans="1:82" x14ac:dyDescent="0.35">
      <c r="A302" s="211" t="s">
        <v>77</v>
      </c>
      <c r="B302" s="211" t="s">
        <v>18</v>
      </c>
      <c r="C302" s="216" t="s">
        <v>364</v>
      </c>
      <c r="D302" s="222">
        <v>92.4</v>
      </c>
      <c r="E302" s="222">
        <v>42.3</v>
      </c>
      <c r="F302" s="211">
        <v>50</v>
      </c>
      <c r="I302" s="218" t="str">
        <f>IFERROR(HLOOKUP('Air Source Heat Pump(s)'!D297,'phius_monthly climate data'!$L$3:$CA$83,'phius_monthly climate data'!$CD297,FALSE),"")</f>
        <v/>
      </c>
      <c r="CD302" s="215">
        <v>300</v>
      </c>
    </row>
    <row r="303" spans="1:82" x14ac:dyDescent="0.35">
      <c r="A303" s="211" t="s">
        <v>77</v>
      </c>
      <c r="B303" s="211" t="s">
        <v>18</v>
      </c>
      <c r="C303" s="216" t="s">
        <v>365</v>
      </c>
      <c r="D303" s="222">
        <v>92.9</v>
      </c>
      <c r="E303" s="222">
        <v>40.9</v>
      </c>
      <c r="F303" s="211">
        <v>46</v>
      </c>
      <c r="I303" s="218" t="str">
        <f>IFERROR(HLOOKUP('Air Source Heat Pump(s)'!D298,'phius_monthly climate data'!$L$3:$CA$83,'phius_monthly climate data'!$CD298,FALSE),"")</f>
        <v/>
      </c>
      <c r="CD303" s="215">
        <v>301</v>
      </c>
    </row>
    <row r="304" spans="1:82" x14ac:dyDescent="0.35">
      <c r="A304" s="211" t="s">
        <v>77</v>
      </c>
      <c r="B304" s="211" t="s">
        <v>18</v>
      </c>
      <c r="C304" s="216" t="s">
        <v>366</v>
      </c>
      <c r="D304" s="222">
        <v>91.1</v>
      </c>
      <c r="E304" s="222">
        <v>35.700000000000003</v>
      </c>
      <c r="F304" s="211">
        <v>37</v>
      </c>
      <c r="I304" s="218" t="str">
        <f>IFERROR(HLOOKUP('Air Source Heat Pump(s)'!D299,'phius_monthly climate data'!$L$3:$CA$83,'phius_monthly climate data'!$CD299,FALSE),"")</f>
        <v/>
      </c>
      <c r="CD304" s="215">
        <v>302</v>
      </c>
    </row>
    <row r="305" spans="1:82" x14ac:dyDescent="0.35">
      <c r="A305" s="211" t="s">
        <v>77</v>
      </c>
      <c r="B305" s="211" t="s">
        <v>18</v>
      </c>
      <c r="C305" s="216" t="s">
        <v>367</v>
      </c>
      <c r="D305" s="222">
        <v>92</v>
      </c>
      <c r="E305" s="222">
        <v>33.799999999999997</v>
      </c>
      <c r="F305" s="211">
        <v>43</v>
      </c>
      <c r="I305" s="218" t="str">
        <f>IFERROR(HLOOKUP('Air Source Heat Pump(s)'!D300,'phius_monthly climate data'!$L$3:$CA$83,'phius_monthly climate data'!$CD300,FALSE),"")</f>
        <v/>
      </c>
      <c r="CD305" s="215">
        <v>303</v>
      </c>
    </row>
    <row r="306" spans="1:82" x14ac:dyDescent="0.35">
      <c r="A306" s="211" t="s">
        <v>77</v>
      </c>
      <c r="B306" s="211" t="s">
        <v>18</v>
      </c>
      <c r="C306" s="216" t="s">
        <v>368</v>
      </c>
      <c r="D306" s="222">
        <v>91.1</v>
      </c>
      <c r="E306" s="222">
        <v>35.1</v>
      </c>
      <c r="F306" s="211">
        <v>39</v>
      </c>
      <c r="I306" s="218" t="str">
        <f>IFERROR(HLOOKUP('Air Source Heat Pump(s)'!D301,'phius_monthly climate data'!$L$3:$CA$83,'phius_monthly climate data'!$CD301,FALSE),"")</f>
        <v/>
      </c>
      <c r="CD306" s="215">
        <v>304</v>
      </c>
    </row>
    <row r="307" spans="1:82" x14ac:dyDescent="0.35">
      <c r="A307" s="211" t="s">
        <v>77</v>
      </c>
      <c r="B307" s="211" t="s">
        <v>18</v>
      </c>
      <c r="C307" s="216" t="s">
        <v>369</v>
      </c>
      <c r="D307" s="222">
        <v>91.1</v>
      </c>
      <c r="E307" s="222">
        <v>44.1</v>
      </c>
      <c r="F307" s="211">
        <v>50</v>
      </c>
      <c r="I307" s="218" t="str">
        <f>IFERROR(HLOOKUP('Air Source Heat Pump(s)'!D302,'phius_monthly climate data'!$L$3:$CA$83,'phius_monthly climate data'!$CD302,FALSE),"")</f>
        <v/>
      </c>
      <c r="CD307" s="215">
        <v>305</v>
      </c>
    </row>
    <row r="308" spans="1:82" x14ac:dyDescent="0.35">
      <c r="A308" s="211" t="s">
        <v>77</v>
      </c>
      <c r="B308" s="211" t="s">
        <v>18</v>
      </c>
      <c r="C308" s="216" t="s">
        <v>370</v>
      </c>
      <c r="D308" s="222">
        <v>92.2</v>
      </c>
      <c r="E308" s="222">
        <v>45.4</v>
      </c>
      <c r="F308" s="211">
        <v>56</v>
      </c>
      <c r="I308" s="218" t="str">
        <f>IFERROR(HLOOKUP('Air Source Heat Pump(s)'!D303,'phius_monthly climate data'!$L$3:$CA$83,'phius_monthly climate data'!$CD303,FALSE),"")</f>
        <v/>
      </c>
      <c r="CD308" s="215">
        <v>306</v>
      </c>
    </row>
    <row r="309" spans="1:82" x14ac:dyDescent="0.35">
      <c r="A309" s="211" t="s">
        <v>77</v>
      </c>
      <c r="B309" s="211" t="s">
        <v>18</v>
      </c>
      <c r="C309" s="216" t="s">
        <v>371</v>
      </c>
      <c r="D309" s="222">
        <v>90.3</v>
      </c>
      <c r="E309" s="222">
        <v>41.9</v>
      </c>
      <c r="F309" s="211">
        <v>48</v>
      </c>
      <c r="I309" s="218" t="str">
        <f>IFERROR(HLOOKUP('Air Source Heat Pump(s)'!D304,'phius_monthly climate data'!$L$3:$CA$83,'phius_monthly climate data'!$CD304,FALSE),"")</f>
        <v/>
      </c>
      <c r="CD309" s="215">
        <v>307</v>
      </c>
    </row>
    <row r="310" spans="1:82" x14ac:dyDescent="0.35">
      <c r="A310" s="211" t="s">
        <v>77</v>
      </c>
      <c r="B310" s="211" t="s">
        <v>18</v>
      </c>
      <c r="C310" s="216" t="s">
        <v>372</v>
      </c>
      <c r="D310" s="222">
        <v>91</v>
      </c>
      <c r="E310" s="222">
        <v>45.4</v>
      </c>
      <c r="F310" s="211">
        <v>50</v>
      </c>
      <c r="I310" s="218" t="str">
        <f>IFERROR(HLOOKUP('Air Source Heat Pump(s)'!D305,'phius_monthly climate data'!$L$3:$CA$83,'phius_monthly climate data'!$CD305,FALSE),"")</f>
        <v/>
      </c>
      <c r="CD310" s="215">
        <v>308</v>
      </c>
    </row>
    <row r="311" spans="1:82" x14ac:dyDescent="0.35">
      <c r="A311" s="211" t="s">
        <v>77</v>
      </c>
      <c r="B311" s="211" t="s">
        <v>18</v>
      </c>
      <c r="C311" s="216" t="s">
        <v>373</v>
      </c>
      <c r="D311" s="222">
        <v>89.2</v>
      </c>
      <c r="E311" s="222">
        <v>47.8</v>
      </c>
      <c r="F311" s="211">
        <v>48</v>
      </c>
      <c r="I311" s="218" t="str">
        <f>IFERROR(HLOOKUP('Air Source Heat Pump(s)'!D306,'phius_monthly climate data'!$L$3:$CA$83,'phius_monthly climate data'!$CD306,FALSE),"")</f>
        <v/>
      </c>
      <c r="CD311" s="215">
        <v>309</v>
      </c>
    </row>
    <row r="312" spans="1:82" x14ac:dyDescent="0.35">
      <c r="A312" s="211" t="s">
        <v>77</v>
      </c>
      <c r="B312" s="211" t="s">
        <v>18</v>
      </c>
      <c r="C312" s="216" t="s">
        <v>374</v>
      </c>
      <c r="D312" s="222">
        <v>94.2</v>
      </c>
      <c r="E312" s="222">
        <v>29.7</v>
      </c>
      <c r="F312" s="211">
        <v>41</v>
      </c>
      <c r="I312" s="218" t="str">
        <f>IFERROR(HLOOKUP('Air Source Heat Pump(s)'!D307,'phius_monthly climate data'!$L$3:$CA$83,'phius_monthly climate data'!$CD307,FALSE),"")</f>
        <v/>
      </c>
      <c r="CD312" s="215">
        <v>310</v>
      </c>
    </row>
    <row r="313" spans="1:82" x14ac:dyDescent="0.35">
      <c r="A313" s="211" t="s">
        <v>77</v>
      </c>
      <c r="B313" s="211" t="s">
        <v>18</v>
      </c>
      <c r="C313" s="216" t="s">
        <v>375</v>
      </c>
      <c r="D313" s="222">
        <v>91.3</v>
      </c>
      <c r="E313" s="222">
        <v>43.4</v>
      </c>
      <c r="F313" s="211">
        <v>48</v>
      </c>
      <c r="I313" s="218" t="str">
        <f>IFERROR(HLOOKUP('Air Source Heat Pump(s)'!D308,'phius_monthly climate data'!$L$3:$CA$83,'phius_monthly climate data'!$CD308,FALSE),"")</f>
        <v/>
      </c>
      <c r="CD313" s="215">
        <v>311</v>
      </c>
    </row>
    <row r="314" spans="1:82" x14ac:dyDescent="0.35">
      <c r="A314" s="211" t="s">
        <v>77</v>
      </c>
      <c r="B314" s="211" t="s">
        <v>18</v>
      </c>
      <c r="C314" s="216" t="s">
        <v>376</v>
      </c>
      <c r="D314" s="222">
        <v>90.2</v>
      </c>
      <c r="E314" s="222">
        <v>35.5</v>
      </c>
      <c r="F314" s="211">
        <v>32</v>
      </c>
      <c r="I314" s="218" t="str">
        <f>IFERROR(HLOOKUP('Air Source Heat Pump(s)'!D309,'phius_monthly climate data'!$L$3:$CA$83,'phius_monthly climate data'!$CD309,FALSE),"")</f>
        <v/>
      </c>
      <c r="CD314" s="215">
        <v>312</v>
      </c>
    </row>
    <row r="315" spans="1:82" x14ac:dyDescent="0.35">
      <c r="A315" s="211" t="s">
        <v>77</v>
      </c>
      <c r="B315" s="211" t="s">
        <v>18</v>
      </c>
      <c r="C315" s="216" t="s">
        <v>377</v>
      </c>
      <c r="D315" s="222">
        <v>91</v>
      </c>
      <c r="E315" s="222">
        <v>32</v>
      </c>
      <c r="F315" s="211">
        <v>31</v>
      </c>
      <c r="I315" s="218" t="str">
        <f>IFERROR(HLOOKUP('Air Source Heat Pump(s)'!D310,'phius_monthly climate data'!$L$3:$CA$83,'phius_monthly climate data'!$CD310,FALSE),"")</f>
        <v/>
      </c>
      <c r="CD315" s="215">
        <v>313</v>
      </c>
    </row>
    <row r="316" spans="1:82" x14ac:dyDescent="0.35">
      <c r="A316" s="211" t="s">
        <v>77</v>
      </c>
      <c r="B316" s="211" t="s">
        <v>18</v>
      </c>
      <c r="C316" s="216" t="s">
        <v>378</v>
      </c>
      <c r="D316" s="222">
        <v>90.7</v>
      </c>
      <c r="E316" s="222">
        <v>32.200000000000003</v>
      </c>
      <c r="F316" s="211">
        <v>32</v>
      </c>
      <c r="I316" s="218" t="str">
        <f>IFERROR(HLOOKUP('Air Source Heat Pump(s)'!D311,'phius_monthly climate data'!$L$3:$CA$83,'phius_monthly climate data'!$CD311,FALSE),"")</f>
        <v/>
      </c>
      <c r="CD316" s="215">
        <v>314</v>
      </c>
    </row>
    <row r="317" spans="1:82" x14ac:dyDescent="0.35">
      <c r="A317" s="211" t="s">
        <v>77</v>
      </c>
      <c r="B317" s="211" t="s">
        <v>18</v>
      </c>
      <c r="C317" s="216" t="s">
        <v>379</v>
      </c>
      <c r="D317" s="222">
        <v>90.5</v>
      </c>
      <c r="E317" s="222">
        <v>43.2</v>
      </c>
      <c r="F317" s="211">
        <v>56</v>
      </c>
      <c r="I317" s="218" t="str">
        <f>IFERROR(HLOOKUP('Air Source Heat Pump(s)'!D312,'phius_monthly climate data'!$L$3:$CA$83,'phius_monthly climate data'!$CD312,FALSE),"")</f>
        <v/>
      </c>
      <c r="CD317" s="215">
        <v>315</v>
      </c>
    </row>
    <row r="318" spans="1:82" x14ac:dyDescent="0.35">
      <c r="A318" s="211" t="s">
        <v>77</v>
      </c>
      <c r="B318" s="211" t="s">
        <v>18</v>
      </c>
      <c r="C318" s="216" t="s">
        <v>380</v>
      </c>
      <c r="D318" s="222">
        <v>93.3</v>
      </c>
      <c r="E318" s="222">
        <v>31.6</v>
      </c>
      <c r="F318" s="211">
        <v>33</v>
      </c>
      <c r="I318" s="218" t="str">
        <f>IFERROR(HLOOKUP('Air Source Heat Pump(s)'!D313,'phius_monthly climate data'!$L$3:$CA$83,'phius_monthly climate data'!$CD313,FALSE),"")</f>
        <v/>
      </c>
      <c r="CD318" s="215">
        <v>316</v>
      </c>
    </row>
    <row r="319" spans="1:82" x14ac:dyDescent="0.35">
      <c r="A319" s="211" t="s">
        <v>77</v>
      </c>
      <c r="B319" s="211" t="s">
        <v>19</v>
      </c>
      <c r="C319" s="216" t="s">
        <v>381</v>
      </c>
      <c r="D319" s="222">
        <v>94.7</v>
      </c>
      <c r="E319" s="222">
        <v>29.6</v>
      </c>
      <c r="F319" s="211">
        <v>39</v>
      </c>
      <c r="I319" s="218" t="str">
        <f>IFERROR(HLOOKUP('Air Source Heat Pump(s)'!D314,'phius_monthly climate data'!$L$3:$CA$83,'phius_monthly climate data'!$CD314,FALSE),"")</f>
        <v/>
      </c>
      <c r="CD319" s="215">
        <v>317</v>
      </c>
    </row>
    <row r="320" spans="1:82" x14ac:dyDescent="0.35">
      <c r="A320" s="211" t="s">
        <v>77</v>
      </c>
      <c r="B320" s="211" t="s">
        <v>19</v>
      </c>
      <c r="C320" s="216" t="s">
        <v>382</v>
      </c>
      <c r="D320" s="222">
        <v>93.8</v>
      </c>
      <c r="E320" s="222">
        <v>29.8</v>
      </c>
      <c r="F320" s="211">
        <v>33</v>
      </c>
      <c r="I320" s="218" t="str">
        <f>IFERROR(HLOOKUP('Air Source Heat Pump(s)'!D315,'phius_monthly climate data'!$L$3:$CA$83,'phius_monthly climate data'!$CD315,FALSE),"")</f>
        <v/>
      </c>
      <c r="CD320" s="215">
        <v>318</v>
      </c>
    </row>
    <row r="321" spans="1:82" x14ac:dyDescent="0.35">
      <c r="A321" s="211" t="s">
        <v>77</v>
      </c>
      <c r="B321" s="211" t="s">
        <v>19</v>
      </c>
      <c r="C321" s="216" t="s">
        <v>383</v>
      </c>
      <c r="D321" s="222">
        <v>93.1</v>
      </c>
      <c r="E321" s="222">
        <v>26.5</v>
      </c>
      <c r="F321" s="211">
        <v>29</v>
      </c>
      <c r="I321" s="218" t="str">
        <f>IFERROR(HLOOKUP('Air Source Heat Pump(s)'!D316,'phius_monthly climate data'!$L$3:$CA$83,'phius_monthly climate data'!$CD316,FALSE),"")</f>
        <v/>
      </c>
      <c r="CD321" s="215">
        <v>319</v>
      </c>
    </row>
    <row r="322" spans="1:82" x14ac:dyDescent="0.35">
      <c r="A322" s="211" t="s">
        <v>77</v>
      </c>
      <c r="B322" s="211" t="s">
        <v>19</v>
      </c>
      <c r="C322" s="216" t="s">
        <v>384</v>
      </c>
      <c r="D322" s="222">
        <v>91.6</v>
      </c>
      <c r="E322" s="222">
        <v>26.5</v>
      </c>
      <c r="F322" s="211">
        <v>28</v>
      </c>
      <c r="I322" s="218" t="str">
        <f>IFERROR(HLOOKUP('Air Source Heat Pump(s)'!D317,'phius_monthly climate data'!$L$3:$CA$83,'phius_monthly climate data'!$CD317,FALSE),"")</f>
        <v/>
      </c>
      <c r="CD322" s="215">
        <v>320</v>
      </c>
    </row>
    <row r="323" spans="1:82" x14ac:dyDescent="0.35">
      <c r="A323" s="211" t="s">
        <v>77</v>
      </c>
      <c r="B323" s="211" t="s">
        <v>19</v>
      </c>
      <c r="C323" s="216" t="s">
        <v>385</v>
      </c>
      <c r="D323" s="222">
        <v>94.9</v>
      </c>
      <c r="E323" s="222">
        <v>26.1</v>
      </c>
      <c r="F323" s="211">
        <v>33</v>
      </c>
      <c r="I323" s="218" t="str">
        <f>IFERROR(HLOOKUP('Air Source Heat Pump(s)'!D318,'phius_monthly climate data'!$L$3:$CA$83,'phius_monthly climate data'!$CD318,FALSE),"")</f>
        <v/>
      </c>
      <c r="CD323" s="215">
        <v>321</v>
      </c>
    </row>
    <row r="324" spans="1:82" x14ac:dyDescent="0.35">
      <c r="A324" s="211" t="s">
        <v>77</v>
      </c>
      <c r="B324" s="211" t="s">
        <v>19</v>
      </c>
      <c r="C324" s="216" t="s">
        <v>386</v>
      </c>
      <c r="D324" s="222">
        <v>93.4</v>
      </c>
      <c r="E324" s="222">
        <v>31.6</v>
      </c>
      <c r="F324" s="211">
        <v>35</v>
      </c>
      <c r="I324" s="218" t="str">
        <f>IFERROR(HLOOKUP('Air Source Heat Pump(s)'!D319,'phius_monthly climate data'!$L$3:$CA$83,'phius_monthly climate data'!$CD319,FALSE),"")</f>
        <v/>
      </c>
      <c r="CD324" s="215">
        <v>322</v>
      </c>
    </row>
    <row r="325" spans="1:82" x14ac:dyDescent="0.35">
      <c r="A325" s="211" t="s">
        <v>77</v>
      </c>
      <c r="B325" s="211" t="s">
        <v>19</v>
      </c>
      <c r="C325" s="216" t="s">
        <v>387</v>
      </c>
      <c r="D325" s="222">
        <v>90.3</v>
      </c>
      <c r="E325" s="222">
        <v>34.6</v>
      </c>
      <c r="F325" s="211">
        <v>39</v>
      </c>
      <c r="I325" s="218" t="str">
        <f>IFERROR(HLOOKUP('Air Source Heat Pump(s)'!D320,'phius_monthly climate data'!$L$3:$CA$83,'phius_monthly climate data'!$CD320,FALSE),"")</f>
        <v/>
      </c>
      <c r="CD325" s="215">
        <v>323</v>
      </c>
    </row>
    <row r="326" spans="1:82" x14ac:dyDescent="0.35">
      <c r="A326" s="211" t="s">
        <v>77</v>
      </c>
      <c r="B326" s="211" t="s">
        <v>19</v>
      </c>
      <c r="C326" s="216" t="s">
        <v>388</v>
      </c>
      <c r="D326" s="222">
        <v>94.2</v>
      </c>
      <c r="E326" s="222">
        <v>29.6</v>
      </c>
      <c r="F326" s="211">
        <v>36</v>
      </c>
      <c r="I326" s="218" t="str">
        <f>IFERROR(HLOOKUP('Air Source Heat Pump(s)'!D321,'phius_monthly climate data'!$L$3:$CA$83,'phius_monthly climate data'!$CD321,FALSE),"")</f>
        <v/>
      </c>
      <c r="CD326" s="215">
        <v>324</v>
      </c>
    </row>
    <row r="327" spans="1:82" x14ac:dyDescent="0.35">
      <c r="A327" s="211" t="s">
        <v>77</v>
      </c>
      <c r="B327" s="211" t="s">
        <v>19</v>
      </c>
      <c r="C327" s="216" t="s">
        <v>389</v>
      </c>
      <c r="D327" s="222">
        <v>91.8</v>
      </c>
      <c r="E327" s="222">
        <v>25.5</v>
      </c>
      <c r="F327" s="211">
        <v>22</v>
      </c>
      <c r="I327" s="218" t="str">
        <f>IFERROR(HLOOKUP('Air Source Heat Pump(s)'!D322,'phius_monthly climate data'!$L$3:$CA$83,'phius_monthly climate data'!$CD322,FALSE),"")</f>
        <v/>
      </c>
      <c r="CD327" s="215">
        <v>325</v>
      </c>
    </row>
    <row r="328" spans="1:82" x14ac:dyDescent="0.35">
      <c r="A328" s="211" t="s">
        <v>77</v>
      </c>
      <c r="B328" s="211" t="s">
        <v>19</v>
      </c>
      <c r="C328" s="216" t="s">
        <v>390</v>
      </c>
      <c r="D328" s="222">
        <v>94.6</v>
      </c>
      <c r="E328" s="222">
        <v>25.9</v>
      </c>
      <c r="F328" s="211">
        <v>26</v>
      </c>
      <c r="I328" s="218" t="str">
        <f>IFERROR(HLOOKUP('Air Source Heat Pump(s)'!D323,'phius_monthly climate data'!$L$3:$CA$83,'phius_monthly climate data'!$CD323,FALSE),"")</f>
        <v/>
      </c>
      <c r="CD328" s="215">
        <v>326</v>
      </c>
    </row>
    <row r="329" spans="1:82" x14ac:dyDescent="0.35">
      <c r="A329" s="211" t="s">
        <v>77</v>
      </c>
      <c r="B329" s="211" t="s">
        <v>19</v>
      </c>
      <c r="C329" s="216" t="s">
        <v>391</v>
      </c>
      <c r="D329" s="222">
        <v>91.9</v>
      </c>
      <c r="E329" s="222">
        <v>25.7</v>
      </c>
      <c r="F329" s="211">
        <v>31</v>
      </c>
      <c r="I329" s="218" t="str">
        <f>IFERROR(HLOOKUP('Air Source Heat Pump(s)'!D324,'phius_monthly climate data'!$L$3:$CA$83,'phius_monthly climate data'!$CD324,FALSE),"")</f>
        <v/>
      </c>
      <c r="CD329" s="215">
        <v>327</v>
      </c>
    </row>
    <row r="330" spans="1:82" x14ac:dyDescent="0.35">
      <c r="A330" s="211" t="s">
        <v>77</v>
      </c>
      <c r="B330" s="211" t="s">
        <v>19</v>
      </c>
      <c r="C330" s="216" t="s">
        <v>392</v>
      </c>
      <c r="D330" s="222">
        <v>93.3</v>
      </c>
      <c r="E330" s="222">
        <v>31.7</v>
      </c>
      <c r="F330" s="211">
        <v>32</v>
      </c>
      <c r="I330" s="218" t="str">
        <f>IFERROR(HLOOKUP('Air Source Heat Pump(s)'!D325,'phius_monthly climate data'!$L$3:$CA$83,'phius_monthly climate data'!$CD325,FALSE),"")</f>
        <v/>
      </c>
      <c r="CD330" s="215">
        <v>328</v>
      </c>
    </row>
    <row r="331" spans="1:82" x14ac:dyDescent="0.35">
      <c r="A331" s="211" t="s">
        <v>77</v>
      </c>
      <c r="B331" s="211" t="s">
        <v>19</v>
      </c>
      <c r="C331" s="216" t="s">
        <v>393</v>
      </c>
      <c r="D331" s="222">
        <v>94.4</v>
      </c>
      <c r="E331" s="222">
        <v>27.4</v>
      </c>
      <c r="F331" s="211">
        <v>35</v>
      </c>
      <c r="I331" s="218" t="str">
        <f>IFERROR(HLOOKUP('Air Source Heat Pump(s)'!D326,'phius_monthly climate data'!$L$3:$CA$83,'phius_monthly climate data'!$CD326,FALSE),"")</f>
        <v/>
      </c>
      <c r="CD331" s="215">
        <v>329</v>
      </c>
    </row>
    <row r="332" spans="1:82" x14ac:dyDescent="0.35">
      <c r="A332" s="211" t="s">
        <v>77</v>
      </c>
      <c r="B332" s="211" t="s">
        <v>19</v>
      </c>
      <c r="C332" s="216" t="s">
        <v>394</v>
      </c>
      <c r="D332" s="222">
        <v>91.1</v>
      </c>
      <c r="E332" s="222">
        <v>24.5</v>
      </c>
      <c r="F332" s="211">
        <v>19</v>
      </c>
      <c r="I332" s="218" t="str">
        <f>IFERROR(HLOOKUP('Air Source Heat Pump(s)'!D327,'phius_monthly climate data'!$L$3:$CA$83,'phius_monthly climate data'!$CD327,FALSE),"")</f>
        <v/>
      </c>
      <c r="CD332" s="215">
        <v>330</v>
      </c>
    </row>
    <row r="333" spans="1:82" x14ac:dyDescent="0.35">
      <c r="A333" s="211" t="s">
        <v>77</v>
      </c>
      <c r="B333" s="211" t="s">
        <v>19</v>
      </c>
      <c r="C333" s="216" t="s">
        <v>395</v>
      </c>
      <c r="D333" s="222">
        <v>94.2</v>
      </c>
      <c r="E333" s="222">
        <v>32.6</v>
      </c>
      <c r="F333" s="211">
        <v>37</v>
      </c>
      <c r="I333" s="218" t="str">
        <f>IFERROR(HLOOKUP('Air Source Heat Pump(s)'!D328,'phius_monthly climate data'!$L$3:$CA$83,'phius_monthly climate data'!$CD328,FALSE),"")</f>
        <v/>
      </c>
      <c r="CD333" s="215">
        <v>331</v>
      </c>
    </row>
    <row r="334" spans="1:82" x14ac:dyDescent="0.35">
      <c r="A334" s="211" t="s">
        <v>77</v>
      </c>
      <c r="B334" s="211" t="s">
        <v>19</v>
      </c>
      <c r="C334" s="216" t="s">
        <v>396</v>
      </c>
      <c r="D334" s="222">
        <v>93.2</v>
      </c>
      <c r="E334" s="222">
        <v>23.4</v>
      </c>
      <c r="F334" s="211">
        <v>30</v>
      </c>
      <c r="I334" s="218" t="str">
        <f>IFERROR(HLOOKUP('Air Source Heat Pump(s)'!D329,'phius_monthly climate data'!$L$3:$CA$83,'phius_monthly climate data'!$CD329,FALSE),"")</f>
        <v/>
      </c>
      <c r="CD334" s="215">
        <v>332</v>
      </c>
    </row>
    <row r="335" spans="1:82" x14ac:dyDescent="0.35">
      <c r="A335" s="211" t="s">
        <v>77</v>
      </c>
      <c r="B335" s="211" t="s">
        <v>19</v>
      </c>
      <c r="C335" s="216" t="s">
        <v>397</v>
      </c>
      <c r="D335" s="222">
        <v>93.3</v>
      </c>
      <c r="E335" s="222">
        <v>30.8</v>
      </c>
      <c r="F335" s="211">
        <v>35</v>
      </c>
      <c r="I335" s="218" t="str">
        <f>IFERROR(HLOOKUP('Air Source Heat Pump(s)'!D330,'phius_monthly climate data'!$L$3:$CA$83,'phius_monthly climate data'!$CD330,FALSE),"")</f>
        <v/>
      </c>
      <c r="CD335" s="215">
        <v>333</v>
      </c>
    </row>
    <row r="336" spans="1:82" x14ac:dyDescent="0.35">
      <c r="A336" s="211" t="s">
        <v>77</v>
      </c>
      <c r="B336" s="211" t="s">
        <v>19</v>
      </c>
      <c r="C336" s="216" t="s">
        <v>398</v>
      </c>
      <c r="D336" s="222">
        <v>94.5</v>
      </c>
      <c r="E336" s="222">
        <v>30.8</v>
      </c>
      <c r="F336" s="211">
        <v>42</v>
      </c>
      <c r="I336" s="218" t="str">
        <f>IFERROR(HLOOKUP('Air Source Heat Pump(s)'!D331,'phius_monthly climate data'!$L$3:$CA$83,'phius_monthly climate data'!$CD331,FALSE),"")</f>
        <v/>
      </c>
      <c r="CD336" s="215">
        <v>334</v>
      </c>
    </row>
    <row r="337" spans="1:82" x14ac:dyDescent="0.35">
      <c r="A337" s="211" t="s">
        <v>77</v>
      </c>
      <c r="B337" s="211" t="s">
        <v>19</v>
      </c>
      <c r="C337" s="216" t="s">
        <v>399</v>
      </c>
      <c r="D337" s="222">
        <v>94.9</v>
      </c>
      <c r="E337" s="222">
        <v>28</v>
      </c>
      <c r="F337" s="211">
        <v>29</v>
      </c>
      <c r="I337" s="218" t="str">
        <f>IFERROR(HLOOKUP('Air Source Heat Pump(s)'!D332,'phius_monthly climate data'!$L$3:$CA$83,'phius_monthly climate data'!$CD332,FALSE),"")</f>
        <v/>
      </c>
      <c r="CD337" s="215">
        <v>335</v>
      </c>
    </row>
    <row r="338" spans="1:82" x14ac:dyDescent="0.35">
      <c r="A338" s="211" t="s">
        <v>77</v>
      </c>
      <c r="B338" s="211" t="s">
        <v>20</v>
      </c>
      <c r="C338" s="216" t="s">
        <v>400</v>
      </c>
      <c r="D338" s="222">
        <v>88.8</v>
      </c>
      <c r="E338" s="222">
        <v>62.5</v>
      </c>
      <c r="F338" s="211">
        <v>68</v>
      </c>
      <c r="I338" s="218" t="str">
        <f>IFERROR(HLOOKUP('Air Source Heat Pump(s)'!D333,'phius_monthly climate data'!$L$3:$CA$83,'phius_monthly climate data'!$CD333,FALSE),"")</f>
        <v/>
      </c>
      <c r="CD338" s="215">
        <v>336</v>
      </c>
    </row>
    <row r="339" spans="1:82" x14ac:dyDescent="0.35">
      <c r="A339" s="211" t="s">
        <v>77</v>
      </c>
      <c r="B339" s="211" t="s">
        <v>20</v>
      </c>
      <c r="C339" s="216" t="s">
        <v>401</v>
      </c>
      <c r="D339" s="222">
        <v>84.7</v>
      </c>
      <c r="E339" s="222">
        <v>62.8</v>
      </c>
      <c r="F339" s="211">
        <v>70</v>
      </c>
      <c r="I339" s="218" t="str">
        <f>IFERROR(HLOOKUP('Air Source Heat Pump(s)'!D334,'phius_monthly climate data'!$L$3:$CA$83,'phius_monthly climate data'!$CD334,FALSE),"")</f>
        <v/>
      </c>
      <c r="CD339" s="215">
        <v>337</v>
      </c>
    </row>
    <row r="340" spans="1:82" x14ac:dyDescent="0.35">
      <c r="A340" s="211" t="s">
        <v>77</v>
      </c>
      <c r="B340" s="211" t="s">
        <v>20</v>
      </c>
      <c r="C340" s="216" t="s">
        <v>402</v>
      </c>
      <c r="D340" s="222">
        <v>88.5</v>
      </c>
      <c r="E340" s="222">
        <v>64.5</v>
      </c>
      <c r="F340" s="211">
        <v>71</v>
      </c>
      <c r="I340" s="218" t="str">
        <f>IFERROR(HLOOKUP('Air Source Heat Pump(s)'!D335,'phius_monthly climate data'!$L$3:$CA$83,'phius_monthly climate data'!$CD335,FALSE),"")</f>
        <v/>
      </c>
      <c r="CD340" s="215">
        <v>338</v>
      </c>
    </row>
    <row r="341" spans="1:82" x14ac:dyDescent="0.35">
      <c r="A341" s="211" t="s">
        <v>77</v>
      </c>
      <c r="B341" s="211" t="s">
        <v>20</v>
      </c>
      <c r="C341" s="216" t="s">
        <v>403</v>
      </c>
      <c r="D341" s="222">
        <v>88.2</v>
      </c>
      <c r="E341" s="222">
        <v>60.7</v>
      </c>
      <c r="F341" s="211">
        <v>71</v>
      </c>
      <c r="I341" s="218" t="str">
        <f>IFERROR(HLOOKUP('Air Source Heat Pump(s)'!D336,'phius_monthly climate data'!$L$3:$CA$83,'phius_monthly climate data'!$CD336,FALSE),"")</f>
        <v/>
      </c>
      <c r="CD341" s="215">
        <v>339</v>
      </c>
    </row>
    <row r="342" spans="1:82" x14ac:dyDescent="0.35">
      <c r="A342" s="211" t="s">
        <v>77</v>
      </c>
      <c r="B342" s="211" t="s">
        <v>20</v>
      </c>
      <c r="C342" s="216" t="s">
        <v>404</v>
      </c>
      <c r="D342" s="222">
        <v>84.1</v>
      </c>
      <c r="E342" s="222">
        <v>65.900000000000006</v>
      </c>
      <c r="F342" s="211">
        <v>70</v>
      </c>
      <c r="CD342" s="215">
        <v>340</v>
      </c>
    </row>
    <row r="343" spans="1:82" x14ac:dyDescent="0.35">
      <c r="A343" s="211" t="s">
        <v>77</v>
      </c>
      <c r="B343" s="211" t="s">
        <v>20</v>
      </c>
      <c r="C343" s="216" t="s">
        <v>405</v>
      </c>
      <c r="D343" s="222">
        <v>86.3</v>
      </c>
      <c r="E343" s="222">
        <v>67.599999999999994</v>
      </c>
      <c r="F343" s="211">
        <v>73</v>
      </c>
      <c r="I343" s="218" t="str">
        <f>IFERROR(HLOOKUP('Air Source Heat Pump(s)'!D337,'phius_monthly climate data'!$L$3:$CA$83,'phius_monthly climate data'!$CD338,FALSE),"")</f>
        <v/>
      </c>
      <c r="CD343" s="215">
        <v>341</v>
      </c>
    </row>
    <row r="344" spans="1:82" x14ac:dyDescent="0.35">
      <c r="A344" s="211" t="s">
        <v>77</v>
      </c>
      <c r="B344" s="211" t="s">
        <v>20</v>
      </c>
      <c r="C344" s="216" t="s">
        <v>1225</v>
      </c>
      <c r="D344" s="222">
        <v>82.6</v>
      </c>
      <c r="E344" s="222">
        <v>59.8</v>
      </c>
      <c r="F344" s="211">
        <v>65.3</v>
      </c>
      <c r="I344" s="218" t="str">
        <f>IFERROR(HLOOKUP('Air Source Heat Pump(s)'!D338,'phius_monthly climate data'!$L$3:$CA$83,'phius_monthly climate data'!$CD339,FALSE),"")</f>
        <v/>
      </c>
      <c r="CD344" s="215">
        <v>342</v>
      </c>
    </row>
    <row r="345" spans="1:82" x14ac:dyDescent="0.35">
      <c r="A345" s="211" t="s">
        <v>77</v>
      </c>
      <c r="B345" s="211" t="s">
        <v>20</v>
      </c>
      <c r="C345" s="216" t="s">
        <v>406</v>
      </c>
      <c r="D345" s="222">
        <v>84.4</v>
      </c>
      <c r="E345" s="222">
        <v>62.5</v>
      </c>
      <c r="F345" s="211">
        <v>68</v>
      </c>
      <c r="I345" s="218" t="str">
        <f>IFERROR(HLOOKUP('Air Source Heat Pump(s)'!D339,'phius_monthly climate data'!$L$3:$CA$83,'phius_monthly climate data'!$CD340,FALSE),"")</f>
        <v/>
      </c>
      <c r="CD345" s="215">
        <v>343</v>
      </c>
    </row>
    <row r="346" spans="1:82" x14ac:dyDescent="0.35">
      <c r="A346" s="211" t="s">
        <v>77</v>
      </c>
      <c r="B346" s="211" t="s">
        <v>20</v>
      </c>
      <c r="C346" s="216" t="s">
        <v>407</v>
      </c>
      <c r="D346" s="222">
        <v>85.8</v>
      </c>
      <c r="E346" s="222">
        <v>61.7</v>
      </c>
      <c r="F346" s="211">
        <v>62</v>
      </c>
      <c r="I346" s="218" t="str">
        <f>IFERROR(HLOOKUP('Air Source Heat Pump(s)'!D340,'phius_monthly climate data'!$L$3:$CA$83,'phius_monthly climate data'!$CD341,FALSE),"")</f>
        <v/>
      </c>
      <c r="CD346" s="215">
        <v>344</v>
      </c>
    </row>
    <row r="347" spans="1:82" x14ac:dyDescent="0.35">
      <c r="A347" s="211" t="s">
        <v>77</v>
      </c>
      <c r="B347" s="211" t="s">
        <v>21</v>
      </c>
      <c r="C347" s="216" t="s">
        <v>408</v>
      </c>
      <c r="D347" s="222">
        <v>88.3</v>
      </c>
      <c r="E347" s="222">
        <v>-4.2</v>
      </c>
      <c r="F347" s="211">
        <v>4</v>
      </c>
      <c r="I347" s="218" t="str">
        <f>IFERROR(HLOOKUP('Air Source Heat Pump(s)'!D341,'phius_monthly climate data'!$L$3:$CA$83,'phius_monthly climate data'!$CD342,FALSE),"")</f>
        <v/>
      </c>
      <c r="CD347" s="215">
        <v>345</v>
      </c>
    </row>
    <row r="348" spans="1:82" x14ac:dyDescent="0.35">
      <c r="A348" s="211" t="s">
        <v>77</v>
      </c>
      <c r="B348" s="211" t="s">
        <v>21</v>
      </c>
      <c r="C348" s="216" t="s">
        <v>409</v>
      </c>
      <c r="D348" s="222">
        <v>90.7</v>
      </c>
      <c r="E348" s="222">
        <v>0</v>
      </c>
      <c r="F348" s="211">
        <v>4</v>
      </c>
      <c r="I348" s="218" t="str">
        <f>IFERROR(HLOOKUP('Air Source Heat Pump(s)'!D342,'phius_monthly climate data'!$L$3:$CA$83,'phius_monthly climate data'!$CD343,FALSE),"")</f>
        <v/>
      </c>
      <c r="CD348" s="215">
        <v>346</v>
      </c>
    </row>
    <row r="349" spans="1:82" x14ac:dyDescent="0.35">
      <c r="A349" s="211" t="s">
        <v>77</v>
      </c>
      <c r="B349" s="211" t="s">
        <v>21</v>
      </c>
      <c r="C349" s="216" t="s">
        <v>410</v>
      </c>
      <c r="D349" s="222">
        <v>89.5</v>
      </c>
      <c r="E349" s="222">
        <v>0.2</v>
      </c>
      <c r="F349" s="211">
        <v>5</v>
      </c>
      <c r="I349" s="218" t="str">
        <f>IFERROR(HLOOKUP('Air Source Heat Pump(s)'!D343,'phius_monthly climate data'!$L$3:$CA$83,'phius_monthly climate data'!$CD344,FALSE),"")</f>
        <v/>
      </c>
      <c r="CD349" s="215">
        <v>347</v>
      </c>
    </row>
    <row r="350" spans="1:82" x14ac:dyDescent="0.35">
      <c r="A350" s="211" t="s">
        <v>77</v>
      </c>
      <c r="B350" s="211" t="s">
        <v>21</v>
      </c>
      <c r="C350" s="216" t="s">
        <v>411</v>
      </c>
      <c r="D350" s="222">
        <v>90</v>
      </c>
      <c r="E350" s="222">
        <v>2.9</v>
      </c>
      <c r="F350" s="211">
        <v>5</v>
      </c>
      <c r="I350" s="218" t="str">
        <f>IFERROR(HLOOKUP('Air Source Heat Pump(s)'!D344,'phius_monthly climate data'!$L$3:$CA$83,'phius_monthly climate data'!$CD345,FALSE),"")</f>
        <v/>
      </c>
      <c r="CD350" s="215">
        <v>348</v>
      </c>
    </row>
    <row r="351" spans="1:82" x14ac:dyDescent="0.35">
      <c r="A351" s="211" t="s">
        <v>77</v>
      </c>
      <c r="B351" s="211" t="s">
        <v>21</v>
      </c>
      <c r="C351" s="216" t="s">
        <v>412</v>
      </c>
      <c r="D351" s="222">
        <v>90.4</v>
      </c>
      <c r="E351" s="222">
        <v>-1.1000000000000001</v>
      </c>
      <c r="F351" s="211">
        <v>-1</v>
      </c>
      <c r="I351" s="218" t="str">
        <f>IFERROR(HLOOKUP('Air Source Heat Pump(s)'!D345,'phius_monthly climate data'!$L$3:$CA$83,'phius_monthly climate data'!$CD346,FALSE),"")</f>
        <v/>
      </c>
      <c r="CD351" s="215">
        <v>349</v>
      </c>
    </row>
    <row r="352" spans="1:82" x14ac:dyDescent="0.35">
      <c r="A352" s="211" t="s">
        <v>77</v>
      </c>
      <c r="B352" s="211" t="s">
        <v>21</v>
      </c>
      <c r="C352" s="216" t="s">
        <v>413</v>
      </c>
      <c r="D352" s="222">
        <v>87.6</v>
      </c>
      <c r="E352" s="222">
        <v>-2.6</v>
      </c>
      <c r="F352" s="211">
        <v>-3</v>
      </c>
      <c r="I352" s="218" t="str">
        <f>IFERROR(HLOOKUP('Air Source Heat Pump(s)'!D346,'phius_monthly climate data'!$L$3:$CA$83,'phius_monthly climate data'!$CD347,FALSE),"")</f>
        <v/>
      </c>
      <c r="CD352" s="215">
        <v>350</v>
      </c>
    </row>
    <row r="353" spans="1:82" x14ac:dyDescent="0.35">
      <c r="A353" s="211" t="s">
        <v>77</v>
      </c>
      <c r="B353" s="211" t="s">
        <v>21</v>
      </c>
      <c r="C353" s="216" t="s">
        <v>414</v>
      </c>
      <c r="D353" s="222">
        <v>90.5</v>
      </c>
      <c r="E353" s="222">
        <v>2.6</v>
      </c>
      <c r="F353" s="211">
        <v>11</v>
      </c>
      <c r="I353" s="218" t="str">
        <f>IFERROR(HLOOKUP('Air Source Heat Pump(s)'!D347,'phius_monthly climate data'!$L$3:$CA$83,'phius_monthly climate data'!$CD348,FALSE),"")</f>
        <v/>
      </c>
      <c r="CD353" s="215">
        <v>351</v>
      </c>
    </row>
    <row r="354" spans="1:82" x14ac:dyDescent="0.35">
      <c r="A354" s="211" t="s">
        <v>77</v>
      </c>
      <c r="B354" s="211" t="s">
        <v>21</v>
      </c>
      <c r="C354" s="216" t="s">
        <v>415</v>
      </c>
      <c r="D354" s="222">
        <v>87.6</v>
      </c>
      <c r="E354" s="222">
        <v>-4.0999999999999996</v>
      </c>
      <c r="F354" s="211">
        <v>-19</v>
      </c>
      <c r="I354" s="218" t="str">
        <f>IFERROR(HLOOKUP('Air Source Heat Pump(s)'!D348,'phius_monthly climate data'!$L$3:$CA$83,'phius_monthly climate data'!$CD349,FALSE),"")</f>
        <v/>
      </c>
      <c r="CD354" s="215">
        <v>352</v>
      </c>
    </row>
    <row r="355" spans="1:82" x14ac:dyDescent="0.35">
      <c r="A355" s="211" t="s">
        <v>77</v>
      </c>
      <c r="B355" s="211" t="s">
        <v>21</v>
      </c>
      <c r="C355" s="216" t="s">
        <v>416</v>
      </c>
      <c r="D355" s="222">
        <v>91.1</v>
      </c>
      <c r="E355" s="222">
        <v>1.1000000000000001</v>
      </c>
      <c r="F355" s="211">
        <v>7</v>
      </c>
      <c r="I355" s="218" t="str">
        <f>IFERROR(HLOOKUP('Air Source Heat Pump(s)'!D349,'phius_monthly climate data'!$L$3:$CA$83,'phius_monthly climate data'!$CD350,FALSE),"")</f>
        <v/>
      </c>
      <c r="CD355" s="215">
        <v>353</v>
      </c>
    </row>
    <row r="356" spans="1:82" x14ac:dyDescent="0.35">
      <c r="A356" s="211" t="s">
        <v>77</v>
      </c>
      <c r="B356" s="211" t="s">
        <v>21</v>
      </c>
      <c r="C356" s="216" t="s">
        <v>417</v>
      </c>
      <c r="D356" s="222">
        <v>88.3</v>
      </c>
      <c r="E356" s="222">
        <v>-1</v>
      </c>
      <c r="F356" s="211">
        <v>4</v>
      </c>
      <c r="I356" s="218" t="str">
        <f>IFERROR(HLOOKUP('Air Source Heat Pump(s)'!D350,'phius_monthly climate data'!$L$3:$CA$83,'phius_monthly climate data'!$CD351,FALSE),"")</f>
        <v/>
      </c>
      <c r="CD356" s="215">
        <v>354</v>
      </c>
    </row>
    <row r="357" spans="1:82" x14ac:dyDescent="0.35">
      <c r="A357" s="211" t="s">
        <v>77</v>
      </c>
      <c r="B357" s="211" t="s">
        <v>21</v>
      </c>
      <c r="C357" s="216" t="s">
        <v>418</v>
      </c>
      <c r="D357" s="222">
        <v>90.7</v>
      </c>
      <c r="E357" s="222">
        <v>2.6</v>
      </c>
      <c r="F357" s="211">
        <v>12</v>
      </c>
      <c r="I357" s="218" t="str">
        <f>IFERROR(HLOOKUP('Air Source Heat Pump(s)'!D351,'phius_monthly climate data'!$L$3:$CA$83,'phius_monthly climate data'!$CD352,FALSE),"")</f>
        <v/>
      </c>
      <c r="CD357" s="215">
        <v>355</v>
      </c>
    </row>
    <row r="358" spans="1:82" x14ac:dyDescent="0.35">
      <c r="A358" s="211" t="s">
        <v>77</v>
      </c>
      <c r="B358" s="211" t="s">
        <v>21</v>
      </c>
      <c r="C358" s="216" t="s">
        <v>419</v>
      </c>
      <c r="D358" s="222">
        <v>90.2</v>
      </c>
      <c r="E358" s="222">
        <v>0.5</v>
      </c>
      <c r="F358" s="211">
        <v>5</v>
      </c>
      <c r="I358" s="218" t="str">
        <f>IFERROR(HLOOKUP('Air Source Heat Pump(s)'!D352,'phius_monthly climate data'!$L$3:$CA$83,'phius_monthly climate data'!$CD353,FALSE),"")</f>
        <v/>
      </c>
      <c r="CD358" s="215">
        <v>356</v>
      </c>
    </row>
    <row r="359" spans="1:82" x14ac:dyDescent="0.35">
      <c r="A359" s="211" t="s">
        <v>77</v>
      </c>
      <c r="B359" s="211" t="s">
        <v>21</v>
      </c>
      <c r="C359" s="216" t="s">
        <v>420</v>
      </c>
      <c r="D359" s="222">
        <v>86.4</v>
      </c>
      <c r="E359" s="222">
        <v>-3.6</v>
      </c>
      <c r="F359" s="211">
        <v>9</v>
      </c>
      <c r="I359" s="218" t="str">
        <f>IFERROR(HLOOKUP('Air Source Heat Pump(s)'!D353,'phius_monthly climate data'!$L$3:$CA$83,'phius_monthly climate data'!$CD354,FALSE),"")</f>
        <v/>
      </c>
      <c r="CD359" s="215">
        <v>357</v>
      </c>
    </row>
    <row r="360" spans="1:82" x14ac:dyDescent="0.35">
      <c r="A360" s="211" t="s">
        <v>77</v>
      </c>
      <c r="B360" s="211" t="s">
        <v>21</v>
      </c>
      <c r="C360" s="216" t="s">
        <v>421</v>
      </c>
      <c r="D360" s="222">
        <v>90.1</v>
      </c>
      <c r="E360" s="222">
        <v>0.1</v>
      </c>
      <c r="F360" s="211">
        <v>3</v>
      </c>
      <c r="I360" s="218" t="str">
        <f>IFERROR(HLOOKUP('Air Source Heat Pump(s)'!D354,'phius_monthly climate data'!$L$3:$CA$83,'phius_monthly climate data'!$CD355,FALSE),"")</f>
        <v/>
      </c>
      <c r="CD360" s="215">
        <v>358</v>
      </c>
    </row>
    <row r="361" spans="1:82" x14ac:dyDescent="0.35">
      <c r="A361" s="211" t="s">
        <v>77</v>
      </c>
      <c r="B361" s="211" t="s">
        <v>21</v>
      </c>
      <c r="C361" s="216" t="s">
        <v>422</v>
      </c>
      <c r="D361" s="222">
        <v>89.7</v>
      </c>
      <c r="E361" s="222">
        <v>0.6</v>
      </c>
      <c r="F361" s="211">
        <v>4</v>
      </c>
      <c r="I361" s="218" t="str">
        <f>IFERROR(HLOOKUP('Air Source Heat Pump(s)'!D355,'phius_monthly climate data'!$L$3:$CA$83,'phius_monthly climate data'!$CD356,FALSE),"")</f>
        <v/>
      </c>
      <c r="CD361" s="215">
        <v>359</v>
      </c>
    </row>
    <row r="362" spans="1:82" x14ac:dyDescent="0.35">
      <c r="A362" s="211" t="s">
        <v>77</v>
      </c>
      <c r="B362" s="211" t="s">
        <v>21</v>
      </c>
      <c r="C362" s="216" t="s">
        <v>423</v>
      </c>
      <c r="D362" s="222">
        <v>85.6</v>
      </c>
      <c r="E362" s="222">
        <v>-2.7</v>
      </c>
      <c r="F362" s="211">
        <v>-1</v>
      </c>
      <c r="I362" s="218" t="str">
        <f>IFERROR(HLOOKUP('Air Source Heat Pump(s)'!D356,'phius_monthly climate data'!$L$3:$CA$83,'phius_monthly climate data'!$CD357,FALSE),"")</f>
        <v/>
      </c>
      <c r="CD362" s="215">
        <v>360</v>
      </c>
    </row>
    <row r="363" spans="1:82" x14ac:dyDescent="0.35">
      <c r="A363" s="211" t="s">
        <v>77</v>
      </c>
      <c r="B363" s="211" t="s">
        <v>21</v>
      </c>
      <c r="C363" s="216" t="s">
        <v>424</v>
      </c>
      <c r="D363" s="222">
        <v>87.6</v>
      </c>
      <c r="E363" s="222">
        <v>-7</v>
      </c>
      <c r="F363" s="211">
        <v>-4</v>
      </c>
      <c r="I363" s="218" t="str">
        <f>IFERROR(HLOOKUP('Air Source Heat Pump(s)'!D357,'phius_monthly climate data'!$L$3:$CA$83,'phius_monthly climate data'!$CD358,FALSE),"")</f>
        <v/>
      </c>
      <c r="CD363" s="215">
        <v>361</v>
      </c>
    </row>
    <row r="364" spans="1:82" x14ac:dyDescent="0.35">
      <c r="A364" s="211" t="s">
        <v>77</v>
      </c>
      <c r="B364" s="211" t="s">
        <v>21</v>
      </c>
      <c r="C364" s="216" t="s">
        <v>425</v>
      </c>
      <c r="D364" s="222">
        <v>90.9</v>
      </c>
      <c r="E364" s="222">
        <v>1.3</v>
      </c>
      <c r="F364" s="211">
        <v>5</v>
      </c>
      <c r="I364" s="218" t="str">
        <f>IFERROR(HLOOKUP('Air Source Heat Pump(s)'!D358,'phius_monthly climate data'!$L$3:$CA$83,'phius_monthly climate data'!$CD359,FALSE),"")</f>
        <v/>
      </c>
      <c r="CD364" s="215">
        <v>362</v>
      </c>
    </row>
    <row r="365" spans="1:82" x14ac:dyDescent="0.35">
      <c r="A365" s="211" t="s">
        <v>77</v>
      </c>
      <c r="B365" s="211" t="s">
        <v>21</v>
      </c>
      <c r="C365" s="216" t="s">
        <v>426</v>
      </c>
      <c r="D365" s="222">
        <v>88.3</v>
      </c>
      <c r="E365" s="222">
        <v>-5.5</v>
      </c>
      <c r="F365" s="211">
        <v>-4</v>
      </c>
      <c r="I365" s="218" t="str">
        <f>IFERROR(HLOOKUP('Air Source Heat Pump(s)'!D359,'phius_monthly climate data'!$L$3:$CA$83,'phius_monthly climate data'!$CD360,FALSE),"")</f>
        <v/>
      </c>
      <c r="CD365" s="215">
        <v>363</v>
      </c>
    </row>
    <row r="366" spans="1:82" x14ac:dyDescent="0.35">
      <c r="A366" s="211" t="s">
        <v>77</v>
      </c>
      <c r="B366" s="211" t="s">
        <v>21</v>
      </c>
      <c r="C366" s="216" t="s">
        <v>427</v>
      </c>
      <c r="D366" s="222">
        <v>90.8</v>
      </c>
      <c r="E366" s="222">
        <v>5.5</v>
      </c>
      <c r="F366" s="211">
        <v>9</v>
      </c>
      <c r="I366" s="218" t="str">
        <f>IFERROR(HLOOKUP('Air Source Heat Pump(s)'!D360,'phius_monthly climate data'!$L$3:$CA$83,'phius_monthly climate data'!$CD361,FALSE),"")</f>
        <v/>
      </c>
      <c r="CD366" s="215">
        <v>364</v>
      </c>
    </row>
    <row r="367" spans="1:82" x14ac:dyDescent="0.35">
      <c r="A367" s="211" t="s">
        <v>77</v>
      </c>
      <c r="B367" s="211" t="s">
        <v>21</v>
      </c>
      <c r="C367" s="216" t="s">
        <v>428</v>
      </c>
      <c r="D367" s="222">
        <v>91</v>
      </c>
      <c r="E367" s="222">
        <v>6.8</v>
      </c>
      <c r="F367" s="211">
        <v>12</v>
      </c>
      <c r="I367" s="218" t="str">
        <f>IFERROR(HLOOKUP('Air Source Heat Pump(s)'!D361,'phius_monthly climate data'!$L$3:$CA$83,'phius_monthly climate data'!$CD362,FALSE),"")</f>
        <v/>
      </c>
      <c r="CD367" s="215">
        <v>365</v>
      </c>
    </row>
    <row r="368" spans="1:82" x14ac:dyDescent="0.35">
      <c r="A368" s="211" t="s">
        <v>77</v>
      </c>
      <c r="B368" s="211" t="s">
        <v>21</v>
      </c>
      <c r="C368" s="216" t="s">
        <v>429</v>
      </c>
      <c r="D368" s="222">
        <v>90.6</v>
      </c>
      <c r="E368" s="222">
        <v>2.7</v>
      </c>
      <c r="F368" s="211">
        <v>9</v>
      </c>
      <c r="I368" s="218" t="str">
        <f>IFERROR(HLOOKUP('Air Source Heat Pump(s)'!D362,'phius_monthly climate data'!$L$3:$CA$83,'phius_monthly climate data'!$CD363,FALSE),"")</f>
        <v/>
      </c>
      <c r="CD368" s="215">
        <v>366</v>
      </c>
    </row>
    <row r="369" spans="1:82" x14ac:dyDescent="0.35">
      <c r="A369" s="211" t="s">
        <v>77</v>
      </c>
      <c r="B369" s="211" t="s">
        <v>21</v>
      </c>
      <c r="C369" s="216" t="s">
        <v>430</v>
      </c>
      <c r="D369" s="222">
        <v>90.4</v>
      </c>
      <c r="E369" s="222">
        <v>-2</v>
      </c>
      <c r="F369" s="211">
        <v>7</v>
      </c>
      <c r="I369" s="218" t="str">
        <f>IFERROR(HLOOKUP('Air Source Heat Pump(s)'!D363,'phius_monthly climate data'!$L$3:$CA$83,'phius_monthly climate data'!$CD364,FALSE),"")</f>
        <v/>
      </c>
      <c r="CD369" s="215">
        <v>367</v>
      </c>
    </row>
    <row r="370" spans="1:82" x14ac:dyDescent="0.35">
      <c r="A370" s="211" t="s">
        <v>77</v>
      </c>
      <c r="B370" s="211" t="s">
        <v>21</v>
      </c>
      <c r="C370" s="216" t="s">
        <v>431</v>
      </c>
      <c r="D370" s="222">
        <v>87.2</v>
      </c>
      <c r="E370" s="222">
        <v>-6.3</v>
      </c>
      <c r="F370" s="211">
        <v>-9</v>
      </c>
      <c r="I370" s="218" t="str">
        <f>IFERROR(HLOOKUP('Air Source Heat Pump(s)'!D364,'phius_monthly climate data'!$L$3:$CA$83,'phius_monthly climate data'!$CD365,FALSE),"")</f>
        <v/>
      </c>
      <c r="CD370" s="215">
        <v>368</v>
      </c>
    </row>
    <row r="371" spans="1:82" x14ac:dyDescent="0.35">
      <c r="A371" s="211" t="s">
        <v>77</v>
      </c>
      <c r="B371" s="211" t="s">
        <v>21</v>
      </c>
      <c r="C371" s="216" t="s">
        <v>432</v>
      </c>
      <c r="D371" s="222">
        <v>88.3</v>
      </c>
      <c r="E371" s="222">
        <v>-3.5</v>
      </c>
      <c r="F371" s="211">
        <v>-16</v>
      </c>
      <c r="I371" s="218" t="str">
        <f>IFERROR(HLOOKUP('Air Source Heat Pump(s)'!D365,'phius_monthly climate data'!$L$3:$CA$83,'phius_monthly climate data'!$CD366,FALSE),"")</f>
        <v/>
      </c>
      <c r="CD371" s="215">
        <v>369</v>
      </c>
    </row>
    <row r="372" spans="1:82" x14ac:dyDescent="0.35">
      <c r="A372" s="211" t="s">
        <v>77</v>
      </c>
      <c r="B372" s="211" t="s">
        <v>21</v>
      </c>
      <c r="C372" s="216" t="s">
        <v>433</v>
      </c>
      <c r="D372" s="222">
        <v>91.3</v>
      </c>
      <c r="E372" s="222">
        <v>2.9</v>
      </c>
      <c r="F372" s="211">
        <v>2</v>
      </c>
      <c r="I372" s="218" t="str">
        <f>IFERROR(HLOOKUP('Air Source Heat Pump(s)'!D366,'phius_monthly climate data'!$L$3:$CA$83,'phius_monthly climate data'!$CD367,FALSE),"")</f>
        <v/>
      </c>
      <c r="CD372" s="215">
        <v>370</v>
      </c>
    </row>
    <row r="373" spans="1:82" x14ac:dyDescent="0.35">
      <c r="A373" s="211" t="s">
        <v>77</v>
      </c>
      <c r="B373" s="211" t="s">
        <v>21</v>
      </c>
      <c r="C373" s="216" t="s">
        <v>434</v>
      </c>
      <c r="D373" s="222">
        <v>89.8</v>
      </c>
      <c r="E373" s="222">
        <v>0.5</v>
      </c>
      <c r="F373" s="211">
        <v>-12</v>
      </c>
      <c r="I373" s="218" t="str">
        <f>IFERROR(HLOOKUP('Air Source Heat Pump(s)'!D367,'phius_monthly climate data'!$L$3:$CA$83,'phius_monthly climate data'!$CD368,FALSE),"")</f>
        <v/>
      </c>
      <c r="CD373" s="215">
        <v>371</v>
      </c>
    </row>
    <row r="374" spans="1:82" x14ac:dyDescent="0.35">
      <c r="A374" s="211" t="s">
        <v>77</v>
      </c>
      <c r="B374" s="211" t="s">
        <v>21</v>
      </c>
      <c r="C374" s="216" t="s">
        <v>435</v>
      </c>
      <c r="D374" s="222">
        <v>87.9</v>
      </c>
      <c r="E374" s="222">
        <v>-3.5</v>
      </c>
      <c r="F374" s="211">
        <v>7</v>
      </c>
      <c r="I374" s="218" t="str">
        <f>IFERROR(HLOOKUP('Air Source Heat Pump(s)'!D368,'phius_monthly climate data'!$L$3:$CA$83,'phius_monthly climate data'!$CD369,FALSE),"")</f>
        <v/>
      </c>
      <c r="CD374" s="215">
        <v>372</v>
      </c>
    </row>
    <row r="375" spans="1:82" x14ac:dyDescent="0.35">
      <c r="A375" s="211" t="s">
        <v>77</v>
      </c>
      <c r="B375" s="211" t="s">
        <v>21</v>
      </c>
      <c r="C375" s="216" t="s">
        <v>436</v>
      </c>
      <c r="D375" s="222">
        <v>89.9</v>
      </c>
      <c r="E375" s="222">
        <v>-3.7</v>
      </c>
      <c r="F375" s="211">
        <v>-1</v>
      </c>
      <c r="I375" s="218" t="str">
        <f>IFERROR(HLOOKUP('Air Source Heat Pump(s)'!D369,'phius_monthly climate data'!$L$3:$CA$83,'phius_monthly climate data'!$CD370,FALSE),"")</f>
        <v/>
      </c>
      <c r="CD375" s="215">
        <v>373</v>
      </c>
    </row>
    <row r="376" spans="1:82" x14ac:dyDescent="0.35">
      <c r="A376" s="211" t="s">
        <v>77</v>
      </c>
      <c r="B376" s="211" t="s">
        <v>21</v>
      </c>
      <c r="C376" s="216" t="s">
        <v>437</v>
      </c>
      <c r="D376" s="222">
        <v>89.5</v>
      </c>
      <c r="E376" s="222">
        <v>0.9</v>
      </c>
      <c r="F376" s="211">
        <v>1</v>
      </c>
      <c r="I376" s="218" t="str">
        <f>IFERROR(HLOOKUP('Air Source Heat Pump(s)'!D370,'phius_monthly climate data'!$L$3:$CA$83,'phius_monthly climate data'!$CD371,FALSE),"")</f>
        <v/>
      </c>
      <c r="CD376" s="215">
        <v>374</v>
      </c>
    </row>
    <row r="377" spans="1:82" x14ac:dyDescent="0.35">
      <c r="A377" s="211" t="s">
        <v>77</v>
      </c>
      <c r="B377" s="211" t="s">
        <v>21</v>
      </c>
      <c r="C377" s="216" t="s">
        <v>438</v>
      </c>
      <c r="D377" s="222">
        <v>92.6</v>
      </c>
      <c r="E377" s="222">
        <v>2.5</v>
      </c>
      <c r="F377" s="211">
        <v>1</v>
      </c>
      <c r="I377" s="218" t="str">
        <f>IFERROR(HLOOKUP('Air Source Heat Pump(s)'!D371,'phius_monthly climate data'!$L$3:$CA$83,'phius_monthly climate data'!$CD372,FALSE),"")</f>
        <v/>
      </c>
      <c r="CD377" s="215">
        <v>375</v>
      </c>
    </row>
    <row r="378" spans="1:82" x14ac:dyDescent="0.35">
      <c r="A378" s="211" t="s">
        <v>77</v>
      </c>
      <c r="B378" s="211" t="s">
        <v>21</v>
      </c>
      <c r="C378" s="216" t="s">
        <v>439</v>
      </c>
      <c r="D378" s="222">
        <v>89.6</v>
      </c>
      <c r="E378" s="222">
        <v>-4.9000000000000004</v>
      </c>
      <c r="F378" s="211">
        <v>-2</v>
      </c>
      <c r="I378" s="218" t="str">
        <f>IFERROR(HLOOKUP('Air Source Heat Pump(s)'!D372,'phius_monthly climate data'!$L$3:$CA$83,'phius_monthly climate data'!$CD373,FALSE),"")</f>
        <v/>
      </c>
      <c r="CD378" s="215">
        <v>376</v>
      </c>
    </row>
    <row r="379" spans="1:82" x14ac:dyDescent="0.35">
      <c r="A379" s="211" t="s">
        <v>77</v>
      </c>
      <c r="B379" s="211" t="s">
        <v>21</v>
      </c>
      <c r="C379" s="216" t="s">
        <v>440</v>
      </c>
      <c r="D379" s="222">
        <v>93</v>
      </c>
      <c r="E379" s="222">
        <v>2.8</v>
      </c>
      <c r="F379" s="211">
        <v>4</v>
      </c>
      <c r="I379" s="218" t="str">
        <f>IFERROR(HLOOKUP('Air Source Heat Pump(s)'!D373,'phius_monthly climate data'!$L$3:$CA$83,'phius_monthly climate data'!$CD374,FALSE),"")</f>
        <v/>
      </c>
      <c r="CD379" s="215">
        <v>377</v>
      </c>
    </row>
    <row r="380" spans="1:82" x14ac:dyDescent="0.35">
      <c r="A380" s="211" t="s">
        <v>77</v>
      </c>
      <c r="B380" s="211" t="s">
        <v>21</v>
      </c>
      <c r="C380" s="216" t="s">
        <v>441</v>
      </c>
      <c r="D380" s="222">
        <v>90.1</v>
      </c>
      <c r="E380" s="222">
        <v>-2.5</v>
      </c>
      <c r="F380" s="211">
        <v>6</v>
      </c>
      <c r="I380" s="218" t="str">
        <f>IFERROR(HLOOKUP('Air Source Heat Pump(s)'!D374,'phius_monthly climate data'!$L$3:$CA$83,'phius_monthly climate data'!$CD375,FALSE),"")</f>
        <v/>
      </c>
      <c r="CD380" s="215">
        <v>378</v>
      </c>
    </row>
    <row r="381" spans="1:82" x14ac:dyDescent="0.35">
      <c r="A381" s="211" t="s">
        <v>77</v>
      </c>
      <c r="B381" s="211" t="s">
        <v>21</v>
      </c>
      <c r="C381" s="216" t="s">
        <v>442</v>
      </c>
      <c r="D381" s="222">
        <v>88.6</v>
      </c>
      <c r="E381" s="222">
        <v>-6.9</v>
      </c>
      <c r="F381" s="211">
        <v>-4</v>
      </c>
      <c r="I381" s="218" t="str">
        <f>IFERROR(HLOOKUP('Air Source Heat Pump(s)'!D375,'phius_monthly climate data'!$L$3:$CA$83,'phius_monthly climate data'!$CD376,FALSE),"")</f>
        <v/>
      </c>
      <c r="CD381" s="215">
        <v>379</v>
      </c>
    </row>
    <row r="382" spans="1:82" x14ac:dyDescent="0.35">
      <c r="A382" s="211" t="s">
        <v>77</v>
      </c>
      <c r="B382" s="211" t="s">
        <v>21</v>
      </c>
      <c r="C382" s="216" t="s">
        <v>443</v>
      </c>
      <c r="D382" s="222">
        <v>89.8</v>
      </c>
      <c r="E382" s="222">
        <v>-4</v>
      </c>
      <c r="F382" s="211">
        <v>2</v>
      </c>
      <c r="I382" s="218" t="str">
        <f>IFERROR(HLOOKUP('Air Source Heat Pump(s)'!D376,'phius_monthly climate data'!$L$3:$CA$83,'phius_monthly climate data'!$CD377,FALSE),"")</f>
        <v/>
      </c>
      <c r="CD382" s="215">
        <v>380</v>
      </c>
    </row>
    <row r="383" spans="1:82" x14ac:dyDescent="0.35">
      <c r="A383" s="211" t="s">
        <v>77</v>
      </c>
      <c r="B383" s="211" t="s">
        <v>21</v>
      </c>
      <c r="C383" s="216" t="s">
        <v>444</v>
      </c>
      <c r="D383" s="222">
        <v>90.7</v>
      </c>
      <c r="E383" s="222">
        <v>2.7</v>
      </c>
      <c r="F383" s="211">
        <v>12</v>
      </c>
      <c r="I383" s="218" t="str">
        <f>IFERROR(HLOOKUP('Air Source Heat Pump(s)'!D377,'phius_monthly climate data'!$L$3:$CA$83,'phius_monthly climate data'!$CD378,FALSE),"")</f>
        <v/>
      </c>
      <c r="CD383" s="215">
        <v>381</v>
      </c>
    </row>
    <row r="384" spans="1:82" x14ac:dyDescent="0.35">
      <c r="A384" s="211" t="s">
        <v>77</v>
      </c>
      <c r="B384" s="211" t="s">
        <v>21</v>
      </c>
      <c r="C384" s="216" t="s">
        <v>445</v>
      </c>
      <c r="D384" s="222">
        <v>88.1</v>
      </c>
      <c r="E384" s="222">
        <v>-4.5</v>
      </c>
      <c r="F384" s="211">
        <v>-5</v>
      </c>
      <c r="I384" s="218" t="str">
        <f>IFERROR(HLOOKUP('Air Source Heat Pump(s)'!D378,'phius_monthly climate data'!$L$3:$CA$83,'phius_monthly climate data'!$CD379,FALSE),"")</f>
        <v/>
      </c>
      <c r="CD384" s="215">
        <v>382</v>
      </c>
    </row>
    <row r="385" spans="1:82" x14ac:dyDescent="0.35">
      <c r="A385" s="211" t="s">
        <v>77</v>
      </c>
      <c r="B385" s="211" t="s">
        <v>21</v>
      </c>
      <c r="C385" s="216" t="s">
        <v>446</v>
      </c>
      <c r="D385" s="222">
        <v>90.2</v>
      </c>
      <c r="E385" s="222">
        <v>-2.2999999999999998</v>
      </c>
      <c r="F385" s="211">
        <v>5</v>
      </c>
      <c r="I385" s="218" t="str">
        <f>IFERROR(HLOOKUP('Air Source Heat Pump(s)'!D379,'phius_monthly climate data'!$L$3:$CA$83,'phius_monthly climate data'!$CD380,FALSE),"")</f>
        <v/>
      </c>
      <c r="CD385" s="215">
        <v>383</v>
      </c>
    </row>
    <row r="386" spans="1:82" x14ac:dyDescent="0.35">
      <c r="A386" s="211" t="s">
        <v>77</v>
      </c>
      <c r="B386" s="211" t="s">
        <v>22</v>
      </c>
      <c r="C386" s="216" t="s">
        <v>447</v>
      </c>
      <c r="D386" s="222">
        <v>95.7</v>
      </c>
      <c r="E386" s="222">
        <v>15.9</v>
      </c>
      <c r="F386" s="211">
        <v>14</v>
      </c>
      <c r="I386" s="218" t="str">
        <f>IFERROR(HLOOKUP('Air Source Heat Pump(s)'!D380,'phius_monthly climate data'!$L$3:$CA$83,'phius_monthly climate data'!$CD381,FALSE),"")</f>
        <v/>
      </c>
      <c r="CD386" s="215">
        <v>384</v>
      </c>
    </row>
    <row r="387" spans="1:82" x14ac:dyDescent="0.35">
      <c r="A387" s="211" t="s">
        <v>77</v>
      </c>
      <c r="B387" s="211" t="s">
        <v>22</v>
      </c>
      <c r="C387" s="216" t="s">
        <v>448</v>
      </c>
      <c r="D387" s="222">
        <v>90.7</v>
      </c>
      <c r="E387" s="222">
        <v>9.1999999999999993</v>
      </c>
      <c r="F387" s="211">
        <v>20</v>
      </c>
      <c r="I387" s="218" t="str">
        <f>IFERROR(HLOOKUP('Air Source Heat Pump(s)'!D381,'phius_monthly climate data'!$L$3:$CA$83,'phius_monthly climate data'!$CD382,FALSE),"")</f>
        <v/>
      </c>
      <c r="CD387" s="215">
        <v>385</v>
      </c>
    </row>
    <row r="388" spans="1:82" x14ac:dyDescent="0.35">
      <c r="A388" s="211" t="s">
        <v>77</v>
      </c>
      <c r="B388" s="211" t="s">
        <v>22</v>
      </c>
      <c r="C388" s="216" t="s">
        <v>449</v>
      </c>
      <c r="D388" s="222">
        <v>93.1</v>
      </c>
      <c r="E388" s="222">
        <v>15.7</v>
      </c>
      <c r="F388" s="211">
        <v>13</v>
      </c>
      <c r="I388" s="218" t="str">
        <f>IFERROR(HLOOKUP('Air Source Heat Pump(s)'!D382,'phius_monthly climate data'!$L$3:$CA$83,'phius_monthly climate data'!$CD383,FALSE),"")</f>
        <v/>
      </c>
      <c r="CD388" s="215">
        <v>386</v>
      </c>
    </row>
    <row r="389" spans="1:82" x14ac:dyDescent="0.35">
      <c r="A389" s="211" t="s">
        <v>77</v>
      </c>
      <c r="B389" s="211" t="s">
        <v>22</v>
      </c>
      <c r="C389" s="216" t="s">
        <v>450</v>
      </c>
      <c r="D389" s="222">
        <v>88.5</v>
      </c>
      <c r="E389" s="222">
        <v>10.4</v>
      </c>
      <c r="F389" s="211">
        <v>7</v>
      </c>
      <c r="I389" s="218" t="str">
        <f>IFERROR(HLOOKUP('Air Source Heat Pump(s)'!D383,'phius_monthly climate data'!$L$3:$CA$83,'phius_monthly climate data'!$CD384,FALSE),"")</f>
        <v/>
      </c>
      <c r="CD389" s="215">
        <v>387</v>
      </c>
    </row>
    <row r="390" spans="1:82" x14ac:dyDescent="0.35">
      <c r="A390" s="211" t="s">
        <v>77</v>
      </c>
      <c r="B390" s="211" t="s">
        <v>22</v>
      </c>
      <c r="C390" s="216" t="s">
        <v>451</v>
      </c>
      <c r="D390" s="222">
        <v>89.6</v>
      </c>
      <c r="E390" s="222">
        <v>-0.3</v>
      </c>
      <c r="F390" s="211">
        <v>8</v>
      </c>
      <c r="I390" s="218" t="str">
        <f>IFERROR(HLOOKUP('Air Source Heat Pump(s)'!D384,'phius_monthly climate data'!$L$3:$CA$83,'phius_monthly climate data'!$CD385,FALSE),"")</f>
        <v/>
      </c>
      <c r="CD390" s="215">
        <v>388</v>
      </c>
    </row>
    <row r="391" spans="1:82" x14ac:dyDescent="0.35">
      <c r="A391" s="211" t="s">
        <v>77</v>
      </c>
      <c r="B391" s="211" t="s">
        <v>22</v>
      </c>
      <c r="C391" s="216" t="s">
        <v>452</v>
      </c>
      <c r="D391" s="222">
        <v>92.2</v>
      </c>
      <c r="E391" s="222">
        <v>12</v>
      </c>
      <c r="F391" s="211">
        <v>20</v>
      </c>
      <c r="I391" s="218" t="str">
        <f>IFERROR(HLOOKUP('Air Source Heat Pump(s)'!D385,'phius_monthly climate data'!$L$3:$CA$83,'phius_monthly climate data'!$CD386,FALSE),"")</f>
        <v/>
      </c>
      <c r="CD391" s="215">
        <v>389</v>
      </c>
    </row>
    <row r="392" spans="1:82" x14ac:dyDescent="0.35">
      <c r="A392" s="211" t="s">
        <v>77</v>
      </c>
      <c r="B392" s="211" t="s">
        <v>22</v>
      </c>
      <c r="C392" s="216" t="s">
        <v>453</v>
      </c>
      <c r="D392" s="222">
        <v>95</v>
      </c>
      <c r="E392" s="222">
        <v>18.8</v>
      </c>
      <c r="F392" s="211">
        <v>20</v>
      </c>
      <c r="I392" s="218" t="str">
        <f>IFERROR(HLOOKUP('Air Source Heat Pump(s)'!D386,'phius_monthly climate data'!$L$3:$CA$83,'phius_monthly climate data'!$CD387,FALSE),"")</f>
        <v/>
      </c>
      <c r="CD392" s="215">
        <v>390</v>
      </c>
    </row>
    <row r="393" spans="1:82" x14ac:dyDescent="0.35">
      <c r="A393" s="211" t="s">
        <v>77</v>
      </c>
      <c r="B393" s="211" t="s">
        <v>22</v>
      </c>
      <c r="C393" s="216" t="s">
        <v>454</v>
      </c>
      <c r="D393" s="222">
        <v>96.5</v>
      </c>
      <c r="E393" s="222">
        <v>12.3</v>
      </c>
      <c r="F393" s="211">
        <v>9</v>
      </c>
      <c r="I393" s="218" t="str">
        <f>IFERROR(HLOOKUP('Air Source Heat Pump(s)'!D387,'phius_monthly climate data'!$L$3:$CA$83,'phius_monthly climate data'!$CD388,FALSE),"")</f>
        <v/>
      </c>
      <c r="CD393" s="215">
        <v>391</v>
      </c>
    </row>
    <row r="394" spans="1:82" x14ac:dyDescent="0.35">
      <c r="A394" s="211" t="s">
        <v>77</v>
      </c>
      <c r="B394" s="211" t="s">
        <v>22</v>
      </c>
      <c r="C394" s="216" t="s">
        <v>455</v>
      </c>
      <c r="D394" s="222">
        <v>91.8</v>
      </c>
      <c r="E394" s="222">
        <v>3.8</v>
      </c>
      <c r="F394" s="211">
        <v>6</v>
      </c>
      <c r="I394" s="218" t="str">
        <f>IFERROR(HLOOKUP('Air Source Heat Pump(s)'!D388,'phius_monthly climate data'!$L$3:$CA$83,'phius_monthly climate data'!$CD389,FALSE),"")</f>
        <v/>
      </c>
      <c r="CD394" s="215">
        <v>392</v>
      </c>
    </row>
    <row r="395" spans="1:82" x14ac:dyDescent="0.35">
      <c r="A395" s="211" t="s">
        <v>77</v>
      </c>
      <c r="B395" s="211" t="s">
        <v>22</v>
      </c>
      <c r="C395" s="216" t="s">
        <v>456</v>
      </c>
      <c r="D395" s="222">
        <v>88</v>
      </c>
      <c r="E395" s="222">
        <v>0</v>
      </c>
      <c r="F395" s="211">
        <v>13</v>
      </c>
      <c r="I395" s="218" t="str">
        <f>IFERROR(HLOOKUP('Air Source Heat Pump(s)'!D389,'phius_monthly climate data'!$L$3:$CA$83,'phius_monthly climate data'!$CD390,FALSE),"")</f>
        <v/>
      </c>
      <c r="CD395" s="215">
        <v>393</v>
      </c>
    </row>
    <row r="396" spans="1:82" x14ac:dyDescent="0.35">
      <c r="A396" s="211" t="s">
        <v>77</v>
      </c>
      <c r="B396" s="211" t="s">
        <v>23</v>
      </c>
      <c r="C396" s="216" t="s">
        <v>457</v>
      </c>
      <c r="D396" s="222">
        <v>88.2</v>
      </c>
      <c r="E396" s="222">
        <v>0.7</v>
      </c>
      <c r="F396" s="211">
        <v>-1</v>
      </c>
      <c r="I396" s="218" t="str">
        <f>IFERROR(HLOOKUP('Air Source Heat Pump(s)'!D390,'phius_monthly climate data'!$L$3:$CA$83,'phius_monthly climate data'!$CD391,FALSE),"")</f>
        <v/>
      </c>
      <c r="CD396" s="215">
        <v>394</v>
      </c>
    </row>
    <row r="397" spans="1:82" x14ac:dyDescent="0.35">
      <c r="A397" s="211" t="s">
        <v>77</v>
      </c>
      <c r="B397" s="211" t="s">
        <v>23</v>
      </c>
      <c r="C397" s="216" t="s">
        <v>458</v>
      </c>
      <c r="D397" s="222">
        <v>92.7</v>
      </c>
      <c r="E397" s="222">
        <v>12.1</v>
      </c>
      <c r="F397" s="211">
        <v>4</v>
      </c>
      <c r="I397" s="218" t="str">
        <f>IFERROR(HLOOKUP('Air Source Heat Pump(s)'!D391,'phius_monthly climate data'!$L$3:$CA$83,'phius_monthly climate data'!$CD392,FALSE),"")</f>
        <v/>
      </c>
      <c r="CD397" s="215">
        <v>395</v>
      </c>
    </row>
    <row r="398" spans="1:82" x14ac:dyDescent="0.35">
      <c r="A398" s="211" t="s">
        <v>77</v>
      </c>
      <c r="B398" s="211" t="s">
        <v>23</v>
      </c>
      <c r="C398" s="216" t="s">
        <v>459</v>
      </c>
      <c r="D398" s="222">
        <v>92.7</v>
      </c>
      <c r="E398" s="222">
        <v>12.7</v>
      </c>
      <c r="F398" s="211">
        <v>15</v>
      </c>
      <c r="I398" s="218" t="str">
        <f>IFERROR(HLOOKUP('Air Source Heat Pump(s)'!D392,'phius_monthly climate data'!$L$3:$CA$83,'phius_monthly climate data'!$CD393,FALSE),"")</f>
        <v/>
      </c>
      <c r="CD398" s="215">
        <v>396</v>
      </c>
    </row>
    <row r="399" spans="1:82" x14ac:dyDescent="0.35">
      <c r="A399" s="211" t="s">
        <v>77</v>
      </c>
      <c r="B399" s="211" t="s">
        <v>23</v>
      </c>
      <c r="C399" s="216" t="s">
        <v>460</v>
      </c>
      <c r="D399" s="222">
        <v>89.8</v>
      </c>
      <c r="E399" s="222">
        <v>4.4000000000000004</v>
      </c>
      <c r="F399" s="211">
        <v>-6</v>
      </c>
      <c r="I399" s="218" t="str">
        <f>IFERROR(HLOOKUP('Air Source Heat Pump(s)'!D393,'phius_monthly climate data'!$L$3:$CA$83,'phius_monthly climate data'!$CD394,FALSE),"")</f>
        <v/>
      </c>
      <c r="CD399" s="215">
        <v>397</v>
      </c>
    </row>
    <row r="400" spans="1:82" x14ac:dyDescent="0.35">
      <c r="A400" s="211" t="s">
        <v>77</v>
      </c>
      <c r="B400" s="211" t="s">
        <v>23</v>
      </c>
      <c r="C400" s="216" t="s">
        <v>461</v>
      </c>
      <c r="D400" s="222">
        <v>89.4</v>
      </c>
      <c r="E400" s="222">
        <v>6.1</v>
      </c>
      <c r="F400" s="211">
        <v>-5</v>
      </c>
      <c r="I400" s="218" t="str">
        <f>IFERROR(HLOOKUP('Air Source Heat Pump(s)'!D394,'phius_monthly climate data'!$L$3:$CA$83,'phius_monthly climate data'!$CD395,FALSE),"")</f>
        <v/>
      </c>
      <c r="CD400" s="215">
        <v>398</v>
      </c>
    </row>
    <row r="401" spans="1:82" x14ac:dyDescent="0.35">
      <c r="A401" s="211" t="s">
        <v>77</v>
      </c>
      <c r="B401" s="211" t="s">
        <v>23</v>
      </c>
      <c r="C401" s="216" t="s">
        <v>462</v>
      </c>
      <c r="D401" s="222">
        <v>88.5</v>
      </c>
      <c r="E401" s="222">
        <v>4.4000000000000004</v>
      </c>
      <c r="F401" s="211">
        <v>8</v>
      </c>
      <c r="I401" s="218" t="str">
        <f>IFERROR(HLOOKUP('Air Source Heat Pump(s)'!D395,'phius_monthly climate data'!$L$3:$CA$83,'phius_monthly climate data'!$CD396,FALSE),"")</f>
        <v/>
      </c>
      <c r="CD401" s="215">
        <v>399</v>
      </c>
    </row>
    <row r="402" spans="1:82" x14ac:dyDescent="0.35">
      <c r="A402" s="211" t="s">
        <v>77</v>
      </c>
      <c r="B402" s="211" t="s">
        <v>23</v>
      </c>
      <c r="C402" s="216" t="s">
        <v>463</v>
      </c>
      <c r="D402" s="222">
        <v>86.2</v>
      </c>
      <c r="E402" s="222">
        <v>2.9</v>
      </c>
      <c r="F402" s="211">
        <v>10</v>
      </c>
      <c r="I402" s="218" t="str">
        <f>IFERROR(HLOOKUP('Air Source Heat Pump(s)'!D396,'phius_monthly climate data'!$L$3:$CA$83,'phius_monthly climate data'!$CD397,FALSE),"")</f>
        <v/>
      </c>
      <c r="CD402" s="215">
        <v>400</v>
      </c>
    </row>
    <row r="403" spans="1:82" x14ac:dyDescent="0.35">
      <c r="A403" s="211" t="s">
        <v>77</v>
      </c>
      <c r="B403" s="211" t="s">
        <v>23</v>
      </c>
      <c r="C403" s="216" t="s">
        <v>464</v>
      </c>
      <c r="D403" s="222">
        <v>90.7</v>
      </c>
      <c r="E403" s="222">
        <v>7.3</v>
      </c>
      <c r="F403" s="211">
        <v>11</v>
      </c>
      <c r="I403" s="218" t="str">
        <f>IFERROR(HLOOKUP('Air Source Heat Pump(s)'!D397,'phius_monthly climate data'!$L$3:$CA$83,'phius_monthly climate data'!$CD398,FALSE),"")</f>
        <v/>
      </c>
      <c r="CD403" s="215">
        <v>401</v>
      </c>
    </row>
    <row r="404" spans="1:82" x14ac:dyDescent="0.35">
      <c r="A404" s="211" t="s">
        <v>77</v>
      </c>
      <c r="B404" s="211" t="s">
        <v>23</v>
      </c>
      <c r="C404" s="216" t="s">
        <v>465</v>
      </c>
      <c r="D404" s="222">
        <v>91.2</v>
      </c>
      <c r="E404" s="222">
        <v>15.8</v>
      </c>
      <c r="F404" s="211">
        <v>22</v>
      </c>
      <c r="I404" s="218" t="str">
        <f>IFERROR(HLOOKUP('Air Source Heat Pump(s)'!D398,'phius_monthly climate data'!$L$3:$CA$83,'phius_monthly climate data'!$CD399,FALSE),"")</f>
        <v/>
      </c>
      <c r="CD404" s="215">
        <v>402</v>
      </c>
    </row>
    <row r="405" spans="1:82" x14ac:dyDescent="0.35">
      <c r="A405" s="211" t="s">
        <v>77</v>
      </c>
      <c r="B405" s="211" t="s">
        <v>23</v>
      </c>
      <c r="C405" s="216" t="s">
        <v>466</v>
      </c>
      <c r="D405" s="222">
        <v>89.7</v>
      </c>
      <c r="E405" s="222">
        <v>1.8</v>
      </c>
      <c r="F405" s="211">
        <v>7</v>
      </c>
      <c r="I405" s="218" t="str">
        <f>IFERROR(HLOOKUP('Air Source Heat Pump(s)'!D399,'phius_monthly climate data'!$L$3:$CA$83,'phius_monthly climate data'!$CD400,FALSE),"")</f>
        <v/>
      </c>
      <c r="CD405" s="215">
        <v>403</v>
      </c>
    </row>
    <row r="406" spans="1:82" x14ac:dyDescent="0.35">
      <c r="A406" s="211" t="s">
        <v>77</v>
      </c>
      <c r="B406" s="211" t="s">
        <v>23</v>
      </c>
      <c r="C406" s="216" t="s">
        <v>467</v>
      </c>
      <c r="D406" s="222">
        <v>91.5</v>
      </c>
      <c r="E406" s="222">
        <v>11.6</v>
      </c>
      <c r="F406" s="211">
        <v>4</v>
      </c>
      <c r="I406" s="218" t="str">
        <f>IFERROR(HLOOKUP('Air Source Heat Pump(s)'!D400,'phius_monthly climate data'!$L$3:$CA$83,'phius_monthly climate data'!$CD401,FALSE),"")</f>
        <v/>
      </c>
      <c r="CD406" s="215">
        <v>404</v>
      </c>
    </row>
    <row r="407" spans="1:82" x14ac:dyDescent="0.35">
      <c r="A407" s="211" t="s">
        <v>77</v>
      </c>
      <c r="B407" s="211" t="s">
        <v>23</v>
      </c>
      <c r="C407" s="216" t="s">
        <v>468</v>
      </c>
      <c r="D407" s="222">
        <v>89.6</v>
      </c>
      <c r="E407" s="222">
        <v>4.3</v>
      </c>
      <c r="F407" s="211">
        <v>3</v>
      </c>
      <c r="I407" s="218" t="str">
        <f>IFERROR(HLOOKUP('Air Source Heat Pump(s)'!D401,'phius_monthly climate data'!$L$3:$CA$83,'phius_monthly climate data'!$CD402,FALSE),"")</f>
        <v/>
      </c>
      <c r="CD407" s="215">
        <v>405</v>
      </c>
    </row>
    <row r="408" spans="1:82" x14ac:dyDescent="0.35">
      <c r="A408" s="211" t="s">
        <v>77</v>
      </c>
      <c r="B408" s="211" t="s">
        <v>23</v>
      </c>
      <c r="C408" s="216" t="s">
        <v>469</v>
      </c>
      <c r="D408" s="222">
        <v>90.3</v>
      </c>
      <c r="E408" s="222">
        <v>5.6</v>
      </c>
      <c r="F408" s="211">
        <v>-4</v>
      </c>
      <c r="I408" s="218" t="str">
        <f>IFERROR(HLOOKUP('Air Source Heat Pump(s)'!D402,'phius_monthly climate data'!$L$3:$CA$83,'phius_monthly climate data'!$CD403,FALSE),"")</f>
        <v/>
      </c>
      <c r="CD408" s="215">
        <v>406</v>
      </c>
    </row>
    <row r="409" spans="1:82" x14ac:dyDescent="0.35">
      <c r="A409" s="211" t="s">
        <v>77</v>
      </c>
      <c r="B409" s="211" t="s">
        <v>23</v>
      </c>
      <c r="C409" s="216" t="s">
        <v>470</v>
      </c>
      <c r="D409" s="222">
        <v>88</v>
      </c>
      <c r="E409" s="222">
        <v>0.3</v>
      </c>
      <c r="F409" s="211">
        <v>-8</v>
      </c>
      <c r="I409" s="218" t="str">
        <f>IFERROR(HLOOKUP('Air Source Heat Pump(s)'!D403,'phius_monthly climate data'!$L$3:$CA$83,'phius_monthly climate data'!$CD404,FALSE),"")</f>
        <v/>
      </c>
      <c r="CD409" s="215">
        <v>407</v>
      </c>
    </row>
    <row r="410" spans="1:82" x14ac:dyDescent="0.35">
      <c r="A410" s="211" t="s">
        <v>77</v>
      </c>
      <c r="B410" s="211" t="s">
        <v>23</v>
      </c>
      <c r="C410" s="216" t="s">
        <v>471</v>
      </c>
      <c r="D410" s="222">
        <v>91.8</v>
      </c>
      <c r="E410" s="222">
        <v>15.2</v>
      </c>
      <c r="F410" s="211">
        <v>12</v>
      </c>
      <c r="I410" s="218" t="str">
        <f>IFERROR(HLOOKUP('Air Source Heat Pump(s)'!D404,'phius_monthly climate data'!$L$3:$CA$83,'phius_monthly climate data'!$CD405,FALSE),"")</f>
        <v/>
      </c>
      <c r="CD410" s="215">
        <v>408</v>
      </c>
    </row>
    <row r="411" spans="1:82" x14ac:dyDescent="0.35">
      <c r="A411" s="211" t="s">
        <v>77</v>
      </c>
      <c r="B411" s="211" t="s">
        <v>23</v>
      </c>
      <c r="C411" s="216" t="s">
        <v>472</v>
      </c>
      <c r="D411" s="222">
        <v>90.4</v>
      </c>
      <c r="E411" s="222">
        <v>6.9</v>
      </c>
      <c r="F411" s="211">
        <v>9</v>
      </c>
      <c r="I411" s="218" t="str">
        <f>IFERROR(HLOOKUP('Air Source Heat Pump(s)'!D405,'phius_monthly climate data'!$L$3:$CA$83,'phius_monthly climate data'!$CD406,FALSE),"")</f>
        <v/>
      </c>
      <c r="CD411" s="215">
        <v>409</v>
      </c>
    </row>
    <row r="412" spans="1:82" x14ac:dyDescent="0.35">
      <c r="A412" s="211" t="s">
        <v>77</v>
      </c>
      <c r="B412" s="211" t="s">
        <v>23</v>
      </c>
      <c r="C412" s="216" t="s">
        <v>473</v>
      </c>
      <c r="D412" s="222">
        <v>88.3</v>
      </c>
      <c r="E412" s="222">
        <v>-0.1</v>
      </c>
      <c r="F412" s="211">
        <v>-10</v>
      </c>
      <c r="I412" s="218" t="str">
        <f>IFERROR(HLOOKUP('Air Source Heat Pump(s)'!D406,'phius_monthly climate data'!$L$3:$CA$83,'phius_monthly climate data'!$CD407,FALSE),"")</f>
        <v/>
      </c>
      <c r="CD412" s="215">
        <v>410</v>
      </c>
    </row>
    <row r="413" spans="1:82" x14ac:dyDescent="0.35">
      <c r="A413" s="211" t="s">
        <v>77</v>
      </c>
      <c r="B413" s="211" t="s">
        <v>23</v>
      </c>
      <c r="C413" s="216" t="s">
        <v>474</v>
      </c>
      <c r="D413" s="222">
        <v>89.6</v>
      </c>
      <c r="E413" s="222">
        <v>4.9000000000000004</v>
      </c>
      <c r="F413" s="211">
        <v>-4</v>
      </c>
      <c r="I413" s="218" t="str">
        <f>IFERROR(HLOOKUP('Air Source Heat Pump(s)'!D407,'phius_monthly climate data'!$L$3:$CA$83,'phius_monthly climate data'!$CD408,FALSE),"")</f>
        <v/>
      </c>
      <c r="CD413" s="215">
        <v>411</v>
      </c>
    </row>
    <row r="414" spans="1:82" x14ac:dyDescent="0.35">
      <c r="A414" s="211" t="s">
        <v>77</v>
      </c>
      <c r="B414" s="211" t="s">
        <v>23</v>
      </c>
      <c r="C414" s="216" t="s">
        <v>475</v>
      </c>
      <c r="D414" s="222">
        <v>87.8</v>
      </c>
      <c r="E414" s="222">
        <v>2.6</v>
      </c>
      <c r="F414" s="211">
        <v>7</v>
      </c>
      <c r="I414" s="218" t="str">
        <f>IFERROR(HLOOKUP('Air Source Heat Pump(s)'!D408,'phius_monthly climate data'!$L$3:$CA$83,'phius_monthly climate data'!$CD409,FALSE),"")</f>
        <v/>
      </c>
      <c r="CD414" s="215">
        <v>412</v>
      </c>
    </row>
    <row r="415" spans="1:82" x14ac:dyDescent="0.35">
      <c r="A415" s="211" t="s">
        <v>77</v>
      </c>
      <c r="B415" s="211" t="s">
        <v>24</v>
      </c>
      <c r="C415" s="216" t="s">
        <v>476</v>
      </c>
      <c r="D415" s="222">
        <v>88</v>
      </c>
      <c r="E415" s="222">
        <v>7.1</v>
      </c>
      <c r="F415" s="211">
        <v>14</v>
      </c>
      <c r="I415" s="218" t="str">
        <f>IFERROR(HLOOKUP('Air Source Heat Pump(s)'!D409,'phius_monthly climate data'!$L$3:$CA$83,'phius_monthly climate data'!$CD410,FALSE),"")</f>
        <v/>
      </c>
      <c r="CD415" s="215">
        <v>413</v>
      </c>
    </row>
    <row r="416" spans="1:82" x14ac:dyDescent="0.35">
      <c r="A416" s="211" t="s">
        <v>77</v>
      </c>
      <c r="B416" s="211" t="s">
        <v>24</v>
      </c>
      <c r="C416" s="216" t="s">
        <v>477</v>
      </c>
      <c r="D416" s="222">
        <v>91.7</v>
      </c>
      <c r="E416" s="222">
        <v>14.6</v>
      </c>
      <c r="F416" s="211">
        <v>12</v>
      </c>
      <c r="I416" s="218" t="str">
        <f>IFERROR(HLOOKUP('Air Source Heat Pump(s)'!D410,'phius_monthly climate data'!$L$3:$CA$83,'phius_monthly climate data'!$CD411,FALSE),"")</f>
        <v/>
      </c>
      <c r="CD416" s="215">
        <v>414</v>
      </c>
    </row>
    <row r="417" spans="1:82" x14ac:dyDescent="0.35">
      <c r="A417" s="211" t="s">
        <v>77</v>
      </c>
      <c r="B417" s="211" t="s">
        <v>24</v>
      </c>
      <c r="C417" s="216" t="s">
        <v>478</v>
      </c>
      <c r="D417" s="222">
        <v>88.1</v>
      </c>
      <c r="E417" s="222">
        <v>5.4</v>
      </c>
      <c r="F417" s="211">
        <v>6</v>
      </c>
      <c r="I417" s="218" t="str">
        <f>IFERROR(HLOOKUP('Air Source Heat Pump(s)'!D411,'phius_monthly climate data'!$L$3:$CA$83,'phius_monthly climate data'!$CD412,FALSE),"")</f>
        <v/>
      </c>
      <c r="CD417" s="215">
        <v>415</v>
      </c>
    </row>
    <row r="418" spans="1:82" x14ac:dyDescent="0.35">
      <c r="A418" s="211" t="s">
        <v>77</v>
      </c>
      <c r="B418" s="211" t="s">
        <v>24</v>
      </c>
      <c r="C418" s="216" t="s">
        <v>479</v>
      </c>
      <c r="D418" s="222">
        <v>88</v>
      </c>
      <c r="E418" s="222">
        <v>5.5</v>
      </c>
      <c r="F418" s="211">
        <v>0</v>
      </c>
      <c r="I418" s="218" t="str">
        <f>IFERROR(HLOOKUP('Air Source Heat Pump(s)'!D412,'phius_monthly climate data'!$L$3:$CA$83,'phius_monthly climate data'!$CD413,FALSE),"")</f>
        <v/>
      </c>
      <c r="CD418" s="215">
        <v>416</v>
      </c>
    </row>
    <row r="419" spans="1:82" x14ac:dyDescent="0.35">
      <c r="A419" s="211" t="s">
        <v>77</v>
      </c>
      <c r="B419" s="211" t="s">
        <v>24</v>
      </c>
      <c r="C419" s="216" t="s">
        <v>480</v>
      </c>
      <c r="D419" s="222">
        <v>90.5</v>
      </c>
      <c r="E419" s="222">
        <v>12.5</v>
      </c>
      <c r="F419" s="211">
        <v>28</v>
      </c>
      <c r="I419" s="218" t="str">
        <f>IFERROR(HLOOKUP('Air Source Heat Pump(s)'!D413,'phius_monthly climate data'!$L$3:$CA$83,'phius_monthly climate data'!$CD414,FALSE),"")</f>
        <v/>
      </c>
      <c r="CD419" s="215">
        <v>417</v>
      </c>
    </row>
    <row r="420" spans="1:82" x14ac:dyDescent="0.35">
      <c r="A420" s="211" t="s">
        <v>77</v>
      </c>
      <c r="B420" s="211" t="s">
        <v>24</v>
      </c>
      <c r="C420" s="216" t="s">
        <v>481</v>
      </c>
      <c r="D420" s="222">
        <v>88.9</v>
      </c>
      <c r="E420" s="222">
        <v>8.6</v>
      </c>
      <c r="F420" s="211">
        <v>9</v>
      </c>
      <c r="I420" s="218" t="str">
        <f>IFERROR(HLOOKUP('Air Source Heat Pump(s)'!D414,'phius_monthly climate data'!$L$3:$CA$83,'phius_monthly climate data'!$CD415,FALSE),"")</f>
        <v/>
      </c>
      <c r="CD420" s="215">
        <v>418</v>
      </c>
    </row>
    <row r="421" spans="1:82" x14ac:dyDescent="0.35">
      <c r="A421" s="211" t="s">
        <v>77</v>
      </c>
      <c r="B421" s="211" t="s">
        <v>24</v>
      </c>
      <c r="C421" s="216" t="s">
        <v>482</v>
      </c>
      <c r="D421" s="222">
        <v>89.5</v>
      </c>
      <c r="E421" s="222">
        <v>6.3</v>
      </c>
      <c r="F421" s="211">
        <v>5</v>
      </c>
      <c r="I421" s="218" t="str">
        <f>IFERROR(HLOOKUP('Air Source Heat Pump(s)'!D415,'phius_monthly climate data'!$L$3:$CA$83,'phius_monthly climate data'!$CD416,FALSE),"")</f>
        <v/>
      </c>
      <c r="CD421" s="215">
        <v>419</v>
      </c>
    </row>
    <row r="422" spans="1:82" x14ac:dyDescent="0.35">
      <c r="A422" s="211" t="s">
        <v>77</v>
      </c>
      <c r="B422" s="211" t="s">
        <v>24</v>
      </c>
      <c r="C422" s="216" t="s">
        <v>483</v>
      </c>
      <c r="D422" s="222">
        <v>89.6</v>
      </c>
      <c r="E422" s="222">
        <v>9.8000000000000007</v>
      </c>
      <c r="F422" s="211">
        <v>0</v>
      </c>
      <c r="I422" s="218" t="str">
        <f>IFERROR(HLOOKUP('Air Source Heat Pump(s)'!D416,'phius_monthly climate data'!$L$3:$CA$83,'phius_monthly climate data'!$CD417,FALSE),"")</f>
        <v/>
      </c>
      <c r="CD422" s="215">
        <v>420</v>
      </c>
    </row>
    <row r="423" spans="1:82" x14ac:dyDescent="0.35">
      <c r="A423" s="211" t="s">
        <v>83</v>
      </c>
      <c r="B423" s="211" t="s">
        <v>1210</v>
      </c>
      <c r="C423" s="216" t="s">
        <v>484</v>
      </c>
      <c r="D423" s="222">
        <v>105.5</v>
      </c>
      <c r="E423" s="222">
        <v>44.7</v>
      </c>
      <c r="F423" s="211">
        <v>50</v>
      </c>
      <c r="I423" s="218" t="str">
        <f>IFERROR(HLOOKUP('Air Source Heat Pump(s)'!D417,'phius_monthly climate data'!$L$3:$CA$83,'phius_monthly climate data'!$CD418,FALSE),"")</f>
        <v/>
      </c>
      <c r="CD423" s="215">
        <v>421</v>
      </c>
    </row>
    <row r="424" spans="1:82" x14ac:dyDescent="0.35">
      <c r="A424" s="211" t="s">
        <v>83</v>
      </c>
      <c r="B424" s="211" t="s">
        <v>1210</v>
      </c>
      <c r="C424" s="216" t="s">
        <v>485</v>
      </c>
      <c r="D424" s="222">
        <v>103.7</v>
      </c>
      <c r="E424" s="222">
        <v>48.1</v>
      </c>
      <c r="F424" s="211">
        <v>54</v>
      </c>
      <c r="I424" s="218" t="str">
        <f>IFERROR(HLOOKUP('Air Source Heat Pump(s)'!D418,'phius_monthly climate data'!$L$3:$CA$83,'phius_monthly climate data'!$CD419,FALSE),"")</f>
        <v/>
      </c>
      <c r="CD424" s="215">
        <v>422</v>
      </c>
    </row>
    <row r="425" spans="1:82" x14ac:dyDescent="0.35">
      <c r="A425" s="211" t="s">
        <v>77</v>
      </c>
      <c r="B425" s="211" t="s">
        <v>24</v>
      </c>
      <c r="C425" s="216" t="s">
        <v>486</v>
      </c>
      <c r="D425" s="222">
        <v>87.7</v>
      </c>
      <c r="E425" s="222">
        <v>6.3</v>
      </c>
      <c r="F425" s="211">
        <v>10</v>
      </c>
      <c r="I425" s="218" t="str">
        <f>IFERROR(HLOOKUP('Air Source Heat Pump(s)'!D419,'phius_monthly climate data'!$L$3:$CA$83,'phius_monthly climate data'!$CD420,FALSE),"")</f>
        <v/>
      </c>
      <c r="CD425" s="215">
        <v>423</v>
      </c>
    </row>
    <row r="426" spans="1:82" x14ac:dyDescent="0.35">
      <c r="A426" s="211" t="s">
        <v>77</v>
      </c>
      <c r="B426" s="211" t="s">
        <v>24</v>
      </c>
      <c r="C426" s="216" t="s">
        <v>487</v>
      </c>
      <c r="D426" s="222">
        <v>90.1</v>
      </c>
      <c r="E426" s="222">
        <v>8.8000000000000007</v>
      </c>
      <c r="F426" s="211">
        <v>-4</v>
      </c>
      <c r="I426" s="218" t="str">
        <f>IFERROR(HLOOKUP('Air Source Heat Pump(s)'!D420,'phius_monthly climate data'!$L$3:$CA$83,'phius_monthly climate data'!$CD421,FALSE),"")</f>
        <v/>
      </c>
      <c r="CD426" s="215">
        <v>424</v>
      </c>
    </row>
    <row r="427" spans="1:82" x14ac:dyDescent="0.35">
      <c r="A427" s="211" t="s">
        <v>77</v>
      </c>
      <c r="B427" s="211" t="s">
        <v>25</v>
      </c>
      <c r="C427" s="216" t="s">
        <v>488</v>
      </c>
      <c r="D427" s="222">
        <v>95.3</v>
      </c>
      <c r="E427" s="222">
        <v>12</v>
      </c>
      <c r="F427" s="211">
        <v>14</v>
      </c>
      <c r="I427" s="218" t="str">
        <f>IFERROR(HLOOKUP('Air Source Heat Pump(s)'!D421,'phius_monthly climate data'!$L$3:$CA$83,'phius_monthly climate data'!$CD422,FALSE),"")</f>
        <v/>
      </c>
      <c r="CD427" s="215">
        <v>425</v>
      </c>
    </row>
    <row r="428" spans="1:82" x14ac:dyDescent="0.35">
      <c r="A428" s="211" t="s">
        <v>77</v>
      </c>
      <c r="B428" s="211" t="s">
        <v>25</v>
      </c>
      <c r="C428" s="216" t="s">
        <v>489</v>
      </c>
      <c r="D428" s="222">
        <v>95.4</v>
      </c>
      <c r="E428" s="222">
        <v>6.4</v>
      </c>
      <c r="F428" s="211">
        <v>4</v>
      </c>
      <c r="I428" s="218" t="str">
        <f>IFERROR(HLOOKUP('Air Source Heat Pump(s)'!D422,'phius_monthly climate data'!$L$3:$CA$83,'phius_monthly climate data'!$CD423,FALSE),"")</f>
        <v/>
      </c>
      <c r="CD428" s="215">
        <v>426</v>
      </c>
    </row>
    <row r="429" spans="1:82" x14ac:dyDescent="0.35">
      <c r="A429" s="211" t="s">
        <v>77</v>
      </c>
      <c r="B429" s="211" t="s">
        <v>25</v>
      </c>
      <c r="C429" s="216" t="s">
        <v>490</v>
      </c>
      <c r="D429" s="222">
        <v>97.7</v>
      </c>
      <c r="E429" s="222">
        <v>9.8000000000000007</v>
      </c>
      <c r="F429" s="211">
        <v>12</v>
      </c>
      <c r="I429" s="218" t="str">
        <f>IFERROR(HLOOKUP('Air Source Heat Pump(s)'!D423,'phius_monthly climate data'!$L$3:$CA$83,'phius_monthly climate data'!$CD424,FALSE),"")</f>
        <v/>
      </c>
      <c r="CD429" s="215">
        <v>427</v>
      </c>
    </row>
    <row r="430" spans="1:82" x14ac:dyDescent="0.35">
      <c r="A430" s="211" t="s">
        <v>77</v>
      </c>
      <c r="B430" s="211" t="s">
        <v>25</v>
      </c>
      <c r="C430" s="216" t="s">
        <v>491</v>
      </c>
      <c r="D430" s="222">
        <v>95.7</v>
      </c>
      <c r="E430" s="222">
        <v>9.6</v>
      </c>
      <c r="F430" s="211">
        <v>12</v>
      </c>
      <c r="I430" s="218" t="str">
        <f>IFERROR(HLOOKUP('Air Source Heat Pump(s)'!D424,'phius_monthly climate data'!$L$3:$CA$83,'phius_monthly climate data'!$CD425,FALSE),"")</f>
        <v/>
      </c>
      <c r="CD430" s="215">
        <v>428</v>
      </c>
    </row>
    <row r="431" spans="1:82" x14ac:dyDescent="0.35">
      <c r="A431" s="211" t="s">
        <v>77</v>
      </c>
      <c r="B431" s="211" t="s">
        <v>25</v>
      </c>
      <c r="C431" s="216" t="s">
        <v>492</v>
      </c>
      <c r="D431" s="222">
        <v>96.8</v>
      </c>
      <c r="E431" s="222">
        <v>9.1999999999999993</v>
      </c>
      <c r="F431" s="211">
        <v>14</v>
      </c>
      <c r="I431" s="218" t="str">
        <f>IFERROR(HLOOKUP('Air Source Heat Pump(s)'!D425,'phius_monthly climate data'!$L$3:$CA$83,'phius_monthly climate data'!$CD426,FALSE),"")</f>
        <v/>
      </c>
      <c r="CD431" s="215">
        <v>429</v>
      </c>
    </row>
    <row r="432" spans="1:82" x14ac:dyDescent="0.35">
      <c r="A432" s="211" t="s">
        <v>77</v>
      </c>
      <c r="B432" s="211" t="s">
        <v>25</v>
      </c>
      <c r="C432" s="216" t="s">
        <v>493</v>
      </c>
      <c r="D432" s="222">
        <v>97</v>
      </c>
      <c r="E432" s="222">
        <v>8.9</v>
      </c>
      <c r="F432" s="211">
        <v>19</v>
      </c>
      <c r="I432" s="218" t="str">
        <f>IFERROR(HLOOKUP('Air Source Heat Pump(s)'!D426,'phius_monthly climate data'!$L$3:$CA$83,'phius_monthly climate data'!$CD427,FALSE),"")</f>
        <v/>
      </c>
      <c r="CD432" s="215">
        <v>430</v>
      </c>
    </row>
    <row r="433" spans="1:82" x14ac:dyDescent="0.35">
      <c r="A433" s="211" t="s">
        <v>77</v>
      </c>
      <c r="B433" s="211" t="s">
        <v>25</v>
      </c>
      <c r="C433" s="216" t="s">
        <v>494</v>
      </c>
      <c r="D433" s="222">
        <v>94.8</v>
      </c>
      <c r="E433" s="222">
        <v>6</v>
      </c>
      <c r="F433" s="211">
        <v>9</v>
      </c>
      <c r="I433" s="218" t="str">
        <f>IFERROR(HLOOKUP('Air Source Heat Pump(s)'!D427,'phius_monthly climate data'!$L$3:$CA$83,'phius_monthly climate data'!$CD428,FALSE),"")</f>
        <v/>
      </c>
      <c r="CD433" s="215">
        <v>431</v>
      </c>
    </row>
    <row r="434" spans="1:82" x14ac:dyDescent="0.35">
      <c r="A434" s="211" t="s">
        <v>77</v>
      </c>
      <c r="B434" s="211" t="s">
        <v>25</v>
      </c>
      <c r="C434" s="216" t="s">
        <v>495</v>
      </c>
      <c r="D434" s="222">
        <v>97.4</v>
      </c>
      <c r="E434" s="222">
        <v>8.8000000000000007</v>
      </c>
      <c r="F434" s="211">
        <v>12</v>
      </c>
      <c r="I434" s="218" t="str">
        <f>IFERROR(HLOOKUP('Air Source Heat Pump(s)'!D428,'phius_monthly climate data'!$L$3:$CA$83,'phius_monthly climate data'!$CD429,FALSE),"")</f>
        <v/>
      </c>
      <c r="CD434" s="215">
        <v>432</v>
      </c>
    </row>
    <row r="435" spans="1:82" x14ac:dyDescent="0.35">
      <c r="A435" s="211" t="s">
        <v>77</v>
      </c>
      <c r="B435" s="211" t="s">
        <v>25</v>
      </c>
      <c r="C435" s="216" t="s">
        <v>496</v>
      </c>
      <c r="D435" s="222">
        <v>98.8</v>
      </c>
      <c r="E435" s="222">
        <v>7.4</v>
      </c>
      <c r="F435" s="211">
        <v>14</v>
      </c>
      <c r="I435" s="218" t="str">
        <f>IFERROR(HLOOKUP('Air Source Heat Pump(s)'!D429,'phius_monthly climate data'!$L$3:$CA$83,'phius_monthly climate data'!$CD430,FALSE),"")</f>
        <v/>
      </c>
      <c r="CD435" s="215">
        <v>433</v>
      </c>
    </row>
    <row r="436" spans="1:82" x14ac:dyDescent="0.35">
      <c r="A436" s="211" t="s">
        <v>77</v>
      </c>
      <c r="B436" s="211" t="s">
        <v>25</v>
      </c>
      <c r="C436" s="216" t="s">
        <v>497</v>
      </c>
      <c r="D436" s="222">
        <v>98.9</v>
      </c>
      <c r="E436" s="222">
        <v>7.1</v>
      </c>
      <c r="F436" s="211">
        <v>7</v>
      </c>
      <c r="I436" s="218" t="str">
        <f>IFERROR(HLOOKUP('Air Source Heat Pump(s)'!D430,'phius_monthly climate data'!$L$3:$CA$83,'phius_monthly climate data'!$CD431,FALSE),"")</f>
        <v/>
      </c>
      <c r="CD436" s="215">
        <v>434</v>
      </c>
    </row>
    <row r="437" spans="1:82" x14ac:dyDescent="0.35">
      <c r="A437" s="211" t="s">
        <v>77</v>
      </c>
      <c r="B437" s="211" t="s">
        <v>25</v>
      </c>
      <c r="C437" s="216" t="s">
        <v>498</v>
      </c>
      <c r="D437" s="222">
        <v>98.7</v>
      </c>
      <c r="E437" s="222">
        <v>9.9</v>
      </c>
      <c r="F437" s="211">
        <v>9</v>
      </c>
      <c r="I437" s="218" t="str">
        <f>IFERROR(HLOOKUP('Air Source Heat Pump(s)'!D431,'phius_monthly climate data'!$L$3:$CA$83,'phius_monthly climate data'!$CD432,FALSE),"")</f>
        <v/>
      </c>
      <c r="CD437" s="215">
        <v>435</v>
      </c>
    </row>
    <row r="438" spans="1:82" x14ac:dyDescent="0.35">
      <c r="A438" s="211" t="s">
        <v>77</v>
      </c>
      <c r="B438" s="211" t="s">
        <v>25</v>
      </c>
      <c r="C438" s="216" t="s">
        <v>499</v>
      </c>
      <c r="D438" s="222">
        <v>98.9</v>
      </c>
      <c r="E438" s="222">
        <v>11.5</v>
      </c>
      <c r="F438" s="211">
        <v>17</v>
      </c>
      <c r="I438" s="218" t="str">
        <f>IFERROR(HLOOKUP('Air Source Heat Pump(s)'!D432,'phius_monthly climate data'!$L$3:$CA$83,'phius_monthly climate data'!$CD433,FALSE),"")</f>
        <v/>
      </c>
      <c r="CD438" s="215">
        <v>436</v>
      </c>
    </row>
    <row r="439" spans="1:82" x14ac:dyDescent="0.35">
      <c r="A439" s="211" t="s">
        <v>77</v>
      </c>
      <c r="B439" s="211" t="s">
        <v>25</v>
      </c>
      <c r="C439" s="216" t="s">
        <v>500</v>
      </c>
      <c r="D439" s="222">
        <v>97</v>
      </c>
      <c r="E439" s="222">
        <v>7.5</v>
      </c>
      <c r="F439" s="211">
        <v>14</v>
      </c>
      <c r="I439" s="218" t="str">
        <f>IFERROR(HLOOKUP('Air Source Heat Pump(s)'!D433,'phius_monthly climate data'!$L$3:$CA$83,'phius_monthly climate data'!$CD434,FALSE),"")</f>
        <v/>
      </c>
      <c r="CD439" s="215">
        <v>437</v>
      </c>
    </row>
    <row r="440" spans="1:82" x14ac:dyDescent="0.35">
      <c r="A440" s="211" t="s">
        <v>77</v>
      </c>
      <c r="B440" s="211" t="s">
        <v>25</v>
      </c>
      <c r="C440" s="216" t="s">
        <v>501</v>
      </c>
      <c r="D440" s="222">
        <v>97.2</v>
      </c>
      <c r="E440" s="222">
        <v>12.8</v>
      </c>
      <c r="F440" s="211">
        <v>18</v>
      </c>
      <c r="CD440" s="215">
        <v>438</v>
      </c>
    </row>
    <row r="441" spans="1:82" x14ac:dyDescent="0.35">
      <c r="A441" s="211" t="s">
        <v>77</v>
      </c>
      <c r="B441" s="211" t="s">
        <v>25</v>
      </c>
      <c r="C441" s="216" t="s">
        <v>502</v>
      </c>
      <c r="D441" s="222">
        <v>96.5</v>
      </c>
      <c r="E441" s="222">
        <v>9.3000000000000007</v>
      </c>
      <c r="F441" s="211">
        <v>13</v>
      </c>
      <c r="I441" s="218" t="str">
        <f>IFERROR(HLOOKUP('Air Source Heat Pump(s)'!D434,'phius_monthly climate data'!$L$3:$CA$83,'phius_monthly climate data'!$CD436,FALSE),"")</f>
        <v/>
      </c>
      <c r="CD441" s="215">
        <v>439</v>
      </c>
    </row>
    <row r="442" spans="1:82" x14ac:dyDescent="0.35">
      <c r="A442" s="211" t="s">
        <v>77</v>
      </c>
      <c r="B442" s="211" t="s">
        <v>25</v>
      </c>
      <c r="C442" s="216" t="s">
        <v>1224</v>
      </c>
      <c r="D442" s="222">
        <v>91.9</v>
      </c>
      <c r="E442" s="222">
        <v>9.1999999999999993</v>
      </c>
      <c r="F442" s="211">
        <v>15.26</v>
      </c>
      <c r="I442" s="218" t="str">
        <f>IFERROR(HLOOKUP('Air Source Heat Pump(s)'!D435,'phius_monthly climate data'!$L$3:$CA$83,'phius_monthly climate data'!$CD437,FALSE),"")</f>
        <v/>
      </c>
      <c r="CD442" s="215">
        <v>440</v>
      </c>
    </row>
    <row r="443" spans="1:82" x14ac:dyDescent="0.35">
      <c r="A443" s="211" t="s">
        <v>77</v>
      </c>
      <c r="B443" s="211" t="s">
        <v>25</v>
      </c>
      <c r="C443" s="216" t="s">
        <v>1223</v>
      </c>
      <c r="D443" s="222">
        <v>94.1</v>
      </c>
      <c r="E443" s="222">
        <v>9.1</v>
      </c>
      <c r="F443" s="211">
        <v>15</v>
      </c>
      <c r="I443" s="218" t="str">
        <f>IFERROR(HLOOKUP('Air Source Heat Pump(s)'!D436,'phius_monthly climate data'!$L$3:$CA$83,'phius_monthly climate data'!$CD438,FALSE),"")</f>
        <v/>
      </c>
      <c r="CD443" s="215">
        <v>441</v>
      </c>
    </row>
    <row r="444" spans="1:82" x14ac:dyDescent="0.35">
      <c r="A444" s="211" t="s">
        <v>77</v>
      </c>
      <c r="B444" s="211" t="s">
        <v>25</v>
      </c>
      <c r="C444" s="216" t="s">
        <v>503</v>
      </c>
      <c r="D444" s="222">
        <v>97.6</v>
      </c>
      <c r="E444" s="222">
        <v>7.1</v>
      </c>
      <c r="F444" s="211">
        <v>8</v>
      </c>
      <c r="I444" s="218" t="str">
        <f>IFERROR(HLOOKUP('Air Source Heat Pump(s)'!D437,'phius_monthly climate data'!$L$3:$CA$83,'phius_monthly climate data'!$CD439,FALSE),"")</f>
        <v/>
      </c>
      <c r="CD444" s="215">
        <v>442</v>
      </c>
    </row>
    <row r="445" spans="1:82" x14ac:dyDescent="0.35">
      <c r="A445" s="211" t="s">
        <v>77</v>
      </c>
      <c r="B445" s="211" t="s">
        <v>25</v>
      </c>
      <c r="C445" s="216" t="s">
        <v>504</v>
      </c>
      <c r="D445" s="222">
        <v>98.8</v>
      </c>
      <c r="E445" s="222">
        <v>9.1999999999999993</v>
      </c>
      <c r="F445" s="211">
        <v>11</v>
      </c>
      <c r="I445" s="218" t="str">
        <f>IFERROR(HLOOKUP('Air Source Heat Pump(s)'!D438,'phius_monthly climate data'!$L$3:$CA$83,'phius_monthly climate data'!$CD440,FALSE),"")</f>
        <v/>
      </c>
      <c r="CD445" s="215">
        <v>443</v>
      </c>
    </row>
    <row r="446" spans="1:82" x14ac:dyDescent="0.35">
      <c r="A446" s="211" t="s">
        <v>77</v>
      </c>
      <c r="B446" s="211" t="s">
        <v>25</v>
      </c>
      <c r="C446" s="216" t="s">
        <v>505</v>
      </c>
      <c r="D446" s="222">
        <v>94.8</v>
      </c>
      <c r="E446" s="222">
        <v>8.9</v>
      </c>
      <c r="F446" s="211">
        <v>6</v>
      </c>
      <c r="I446" s="218" t="str">
        <f>IFERROR(HLOOKUP('Air Source Heat Pump(s)'!D439,'phius_monthly climate data'!$L$3:$CA$83,'phius_monthly climate data'!$CD441,FALSE),"")</f>
        <v/>
      </c>
      <c r="CD446" s="215">
        <v>444</v>
      </c>
    </row>
    <row r="447" spans="1:82" x14ac:dyDescent="0.35">
      <c r="A447" s="211" t="s">
        <v>77</v>
      </c>
      <c r="B447" s="211" t="s">
        <v>25</v>
      </c>
      <c r="C447" s="216" t="s">
        <v>506</v>
      </c>
      <c r="D447" s="222">
        <v>94.9</v>
      </c>
      <c r="E447" s="222">
        <v>8.9</v>
      </c>
      <c r="F447" s="211">
        <v>12</v>
      </c>
      <c r="I447" s="218" t="str">
        <f>IFERROR(HLOOKUP('Air Source Heat Pump(s)'!D440,'phius_monthly climate data'!$L$3:$CA$83,'phius_monthly climate data'!$CD442,FALSE),"")</f>
        <v/>
      </c>
      <c r="CD447" s="215">
        <v>445</v>
      </c>
    </row>
    <row r="448" spans="1:82" x14ac:dyDescent="0.35">
      <c r="A448" s="211" t="s">
        <v>77</v>
      </c>
      <c r="B448" s="211" t="s">
        <v>25</v>
      </c>
      <c r="C448" s="216" t="s">
        <v>507</v>
      </c>
      <c r="D448" s="222">
        <v>97.8</v>
      </c>
      <c r="E448" s="222">
        <v>12.3</v>
      </c>
      <c r="F448" s="211">
        <v>16</v>
      </c>
      <c r="I448" s="218" t="str">
        <f>IFERROR(HLOOKUP('Air Source Heat Pump(s)'!D441,'phius_monthly climate data'!$L$3:$CA$83,'phius_monthly climate data'!$CD443,FALSE),"")</f>
        <v/>
      </c>
      <c r="CD448" s="215">
        <v>446</v>
      </c>
    </row>
    <row r="449" spans="1:82" x14ac:dyDescent="0.35">
      <c r="A449" s="211" t="s">
        <v>77</v>
      </c>
      <c r="B449" s="211" t="s">
        <v>25</v>
      </c>
      <c r="C449" s="216" t="s">
        <v>508</v>
      </c>
      <c r="D449" s="222">
        <v>97.2</v>
      </c>
      <c r="E449" s="222">
        <v>11</v>
      </c>
      <c r="F449" s="211">
        <v>13</v>
      </c>
      <c r="I449" s="218" t="str">
        <f>IFERROR(HLOOKUP('Air Source Heat Pump(s)'!D442,'phius_monthly climate data'!$L$3:$CA$83,'phius_monthly climate data'!$CD444,FALSE),"")</f>
        <v/>
      </c>
      <c r="CD449" s="215">
        <v>447</v>
      </c>
    </row>
    <row r="450" spans="1:82" x14ac:dyDescent="0.35">
      <c r="A450" s="211" t="s">
        <v>77</v>
      </c>
      <c r="B450" s="211" t="s">
        <v>26</v>
      </c>
      <c r="C450" s="216" t="s">
        <v>509</v>
      </c>
      <c r="D450" s="222">
        <v>91.6</v>
      </c>
      <c r="E450" s="222">
        <v>17.600000000000001</v>
      </c>
      <c r="F450" s="211">
        <v>5</v>
      </c>
      <c r="I450" s="218" t="str">
        <f>IFERROR(HLOOKUP('Air Source Heat Pump(s)'!D443,'phius_monthly climate data'!$L$3:$CA$83,'phius_monthly climate data'!$CD445,FALSE),"")</f>
        <v/>
      </c>
      <c r="CD450" s="215">
        <v>448</v>
      </c>
    </row>
    <row r="451" spans="1:82" x14ac:dyDescent="0.35">
      <c r="A451" s="211" t="s">
        <v>77</v>
      </c>
      <c r="B451" s="211" t="s">
        <v>26</v>
      </c>
      <c r="C451" s="216" t="s">
        <v>510</v>
      </c>
      <c r="D451" s="222">
        <v>89</v>
      </c>
      <c r="E451" s="222">
        <v>11.9</v>
      </c>
      <c r="F451" s="211">
        <v>13</v>
      </c>
      <c r="I451" s="218" t="str">
        <f>IFERROR(HLOOKUP('Air Source Heat Pump(s)'!D444,'phius_monthly climate data'!$L$3:$CA$83,'phius_monthly climate data'!$CD446,FALSE),"")</f>
        <v/>
      </c>
      <c r="CD451" s="215">
        <v>449</v>
      </c>
    </row>
    <row r="452" spans="1:82" x14ac:dyDescent="0.35">
      <c r="A452" s="211" t="s">
        <v>77</v>
      </c>
      <c r="B452" s="211" t="s">
        <v>26</v>
      </c>
      <c r="C452" s="216" t="s">
        <v>511</v>
      </c>
      <c r="D452" s="222">
        <v>92.1</v>
      </c>
      <c r="E452" s="222">
        <v>17.7</v>
      </c>
      <c r="F452" s="211">
        <v>8</v>
      </c>
      <c r="I452" s="218" t="str">
        <f>IFERROR(HLOOKUP('Air Source Heat Pump(s)'!D445,'phius_monthly climate data'!$L$3:$CA$83,'phius_monthly climate data'!$CD447,FALSE),"")</f>
        <v/>
      </c>
      <c r="CD452" s="215">
        <v>450</v>
      </c>
    </row>
    <row r="453" spans="1:82" x14ac:dyDescent="0.35">
      <c r="A453" s="211" t="s">
        <v>77</v>
      </c>
      <c r="B453" s="211" t="s">
        <v>26</v>
      </c>
      <c r="C453" s="216" t="s">
        <v>512</v>
      </c>
      <c r="D453" s="222">
        <v>90.4</v>
      </c>
      <c r="E453" s="222">
        <v>14.2</v>
      </c>
      <c r="F453" s="211">
        <v>7</v>
      </c>
      <c r="I453" s="218" t="str">
        <f>IFERROR(HLOOKUP('Air Source Heat Pump(s)'!D446,'phius_monthly climate data'!$L$3:$CA$83,'phius_monthly climate data'!$CD448,FALSE),"")</f>
        <v/>
      </c>
      <c r="CD453" s="215">
        <v>451</v>
      </c>
    </row>
    <row r="454" spans="1:82" x14ac:dyDescent="0.35">
      <c r="A454" s="211" t="s">
        <v>77</v>
      </c>
      <c r="B454" s="211" t="s">
        <v>26</v>
      </c>
      <c r="C454" s="216" t="s">
        <v>513</v>
      </c>
      <c r="D454" s="222">
        <v>91.2</v>
      </c>
      <c r="E454" s="222">
        <v>14.3</v>
      </c>
      <c r="F454" s="211">
        <v>6</v>
      </c>
      <c r="I454" s="218" t="str">
        <f>IFERROR(HLOOKUP('Air Source Heat Pump(s)'!D447,'phius_monthly climate data'!$L$3:$CA$83,'phius_monthly climate data'!$CD449,FALSE),"")</f>
        <v/>
      </c>
      <c r="CD454" s="215">
        <v>452</v>
      </c>
    </row>
    <row r="455" spans="1:82" x14ac:dyDescent="0.35">
      <c r="A455" s="211" t="s">
        <v>77</v>
      </c>
      <c r="B455" s="211" t="s">
        <v>26</v>
      </c>
      <c r="C455" s="216" t="s">
        <v>514</v>
      </c>
      <c r="D455" s="222">
        <v>87.2</v>
      </c>
      <c r="E455" s="222">
        <v>15.9</v>
      </c>
      <c r="F455" s="211">
        <v>21</v>
      </c>
      <c r="I455" s="218" t="str">
        <f>IFERROR(HLOOKUP('Air Source Heat Pump(s)'!D448,'phius_monthly climate data'!$L$3:$CA$83,'phius_monthly climate data'!$CD450,FALSE),"")</f>
        <v/>
      </c>
      <c r="CD455" s="215">
        <v>453</v>
      </c>
    </row>
    <row r="456" spans="1:82" x14ac:dyDescent="0.35">
      <c r="A456" s="211" t="s">
        <v>77</v>
      </c>
      <c r="B456" s="211" t="s">
        <v>26</v>
      </c>
      <c r="C456" s="216" t="s">
        <v>515</v>
      </c>
      <c r="D456" s="222">
        <v>89.2</v>
      </c>
      <c r="E456" s="222">
        <v>14.1</v>
      </c>
      <c r="F456" s="211">
        <v>19</v>
      </c>
      <c r="I456" s="218" t="str">
        <f>IFERROR(HLOOKUP('Air Source Heat Pump(s)'!D449,'phius_monthly climate data'!$L$3:$CA$83,'phius_monthly climate data'!$CD451,FALSE),"")</f>
        <v/>
      </c>
      <c r="CD456" s="215">
        <v>454</v>
      </c>
    </row>
    <row r="457" spans="1:82" x14ac:dyDescent="0.35">
      <c r="A457" s="211" t="s">
        <v>77</v>
      </c>
      <c r="B457" s="211" t="s">
        <v>26</v>
      </c>
      <c r="C457" s="216" t="s">
        <v>516</v>
      </c>
      <c r="D457" s="222">
        <v>88.4</v>
      </c>
      <c r="E457" s="222">
        <v>16.7</v>
      </c>
      <c r="F457" s="211">
        <v>17</v>
      </c>
      <c r="I457" s="218" t="str">
        <f>IFERROR(HLOOKUP('Air Source Heat Pump(s)'!D450,'phius_monthly climate data'!$L$3:$CA$83,'phius_monthly climate data'!$CD452,FALSE),"")</f>
        <v/>
      </c>
      <c r="CD457" s="215">
        <v>455</v>
      </c>
    </row>
    <row r="458" spans="1:82" x14ac:dyDescent="0.35">
      <c r="A458" s="211" t="s">
        <v>77</v>
      </c>
      <c r="B458" s="211" t="s">
        <v>26</v>
      </c>
      <c r="C458" s="216" t="s">
        <v>517</v>
      </c>
      <c r="D458" s="222">
        <v>91.2</v>
      </c>
      <c r="E458" s="222">
        <v>16.3</v>
      </c>
      <c r="F458" s="211">
        <v>18</v>
      </c>
      <c r="I458" s="218" t="str">
        <f>IFERROR(HLOOKUP('Air Source Heat Pump(s)'!D451,'phius_monthly climate data'!$L$3:$CA$83,'phius_monthly climate data'!$CD453,FALSE),"")</f>
        <v/>
      </c>
      <c r="CD458" s="215">
        <v>456</v>
      </c>
    </row>
    <row r="459" spans="1:82" x14ac:dyDescent="0.35">
      <c r="A459" s="211" t="s">
        <v>77</v>
      </c>
      <c r="B459" s="211" t="s">
        <v>26</v>
      </c>
      <c r="C459" s="216" t="s">
        <v>518</v>
      </c>
      <c r="D459" s="222">
        <v>91.8</v>
      </c>
      <c r="E459" s="222">
        <v>16.600000000000001</v>
      </c>
      <c r="F459" s="211">
        <v>20</v>
      </c>
      <c r="I459" s="218" t="str">
        <f>IFERROR(HLOOKUP('Air Source Heat Pump(s)'!D452,'phius_monthly climate data'!$L$3:$CA$83,'phius_monthly climate data'!$CD454,FALSE),"")</f>
        <v/>
      </c>
      <c r="CD459" s="215">
        <v>457</v>
      </c>
    </row>
    <row r="460" spans="1:82" x14ac:dyDescent="0.35">
      <c r="A460" s="211" t="s">
        <v>77</v>
      </c>
      <c r="B460" s="211" t="s">
        <v>26</v>
      </c>
      <c r="C460" s="216" t="s">
        <v>519</v>
      </c>
      <c r="D460" s="222">
        <v>92.3</v>
      </c>
      <c r="E460" s="222">
        <v>16.600000000000001</v>
      </c>
      <c r="F460" s="211">
        <v>22</v>
      </c>
      <c r="I460" s="218" t="str">
        <f>IFERROR(HLOOKUP('Air Source Heat Pump(s)'!D453,'phius_monthly climate data'!$L$3:$CA$83,'phius_monthly climate data'!$CD455,FALSE),"")</f>
        <v/>
      </c>
      <c r="CD460" s="215">
        <v>458</v>
      </c>
    </row>
    <row r="461" spans="1:82" x14ac:dyDescent="0.35">
      <c r="A461" s="211" t="s">
        <v>77</v>
      </c>
      <c r="B461" s="211" t="s">
        <v>26</v>
      </c>
      <c r="C461" s="216" t="s">
        <v>520</v>
      </c>
      <c r="D461" s="222">
        <v>91.3</v>
      </c>
      <c r="E461" s="222">
        <v>18</v>
      </c>
      <c r="F461" s="211">
        <v>25</v>
      </c>
      <c r="I461" s="218" t="str">
        <f>IFERROR(HLOOKUP('Air Source Heat Pump(s)'!D454,'phius_monthly climate data'!$L$3:$CA$83,'phius_monthly climate data'!$CD456,FALSE),"")</f>
        <v/>
      </c>
      <c r="CD461" s="215">
        <v>459</v>
      </c>
    </row>
    <row r="462" spans="1:82" x14ac:dyDescent="0.35">
      <c r="A462" s="211" t="s">
        <v>77</v>
      </c>
      <c r="B462" s="211" t="s">
        <v>27</v>
      </c>
      <c r="C462" s="216" t="s">
        <v>521</v>
      </c>
      <c r="D462" s="222">
        <v>95.6</v>
      </c>
      <c r="E462" s="222">
        <v>28.4</v>
      </c>
      <c r="F462" s="211">
        <v>40</v>
      </c>
      <c r="I462" s="218" t="str">
        <f>IFERROR(HLOOKUP('Air Source Heat Pump(s)'!D455,'phius_monthly climate data'!$L$3:$CA$83,'phius_monthly climate data'!$CD457,FALSE),"")</f>
        <v/>
      </c>
      <c r="CD462" s="215">
        <v>460</v>
      </c>
    </row>
    <row r="463" spans="1:82" x14ac:dyDescent="0.35">
      <c r="A463" s="211" t="s">
        <v>77</v>
      </c>
      <c r="B463" s="211" t="s">
        <v>27</v>
      </c>
      <c r="C463" s="216" t="s">
        <v>522</v>
      </c>
      <c r="D463" s="222">
        <v>96.4</v>
      </c>
      <c r="E463" s="222">
        <v>27.6</v>
      </c>
      <c r="F463" s="211">
        <v>23</v>
      </c>
      <c r="I463" s="218" t="str">
        <f>IFERROR(HLOOKUP('Air Source Heat Pump(s)'!D456,'phius_monthly climate data'!$L$3:$CA$83,'phius_monthly climate data'!$CD458,FALSE),"")</f>
        <v/>
      </c>
      <c r="CD463" s="215">
        <v>461</v>
      </c>
    </row>
    <row r="464" spans="1:82" x14ac:dyDescent="0.35">
      <c r="A464" s="211" t="s">
        <v>77</v>
      </c>
      <c r="B464" s="211" t="s">
        <v>27</v>
      </c>
      <c r="C464" s="216" t="s">
        <v>523</v>
      </c>
      <c r="D464" s="222">
        <v>93.3</v>
      </c>
      <c r="E464" s="222">
        <v>31.6</v>
      </c>
      <c r="F464" s="211">
        <v>35</v>
      </c>
      <c r="I464" s="218" t="str">
        <f>IFERROR(HLOOKUP('Air Source Heat Pump(s)'!D457,'phius_monthly climate data'!$L$3:$CA$83,'phius_monthly climate data'!$CD459,FALSE),"")</f>
        <v/>
      </c>
      <c r="CD464" s="215">
        <v>462</v>
      </c>
    </row>
    <row r="465" spans="1:82" x14ac:dyDescent="0.35">
      <c r="A465" s="211" t="s">
        <v>77</v>
      </c>
      <c r="B465" s="211" t="s">
        <v>27</v>
      </c>
      <c r="C465" s="216" t="s">
        <v>524</v>
      </c>
      <c r="D465" s="222">
        <v>95.1</v>
      </c>
      <c r="E465" s="222">
        <v>29.9</v>
      </c>
      <c r="F465" s="211">
        <v>35</v>
      </c>
      <c r="I465" s="218" t="str">
        <f>IFERROR(HLOOKUP('Air Source Heat Pump(s)'!D458,'phius_monthly climate data'!$L$3:$CA$83,'phius_monthly climate data'!$CD460,FALSE),"")</f>
        <v/>
      </c>
      <c r="CD465" s="215">
        <v>463</v>
      </c>
    </row>
    <row r="466" spans="1:82" x14ac:dyDescent="0.35">
      <c r="A466" s="211" t="s">
        <v>77</v>
      </c>
      <c r="B466" s="211" t="s">
        <v>27</v>
      </c>
      <c r="C466" s="216" t="s">
        <v>525</v>
      </c>
      <c r="D466" s="222">
        <v>94.7</v>
      </c>
      <c r="E466" s="222">
        <v>30.5</v>
      </c>
      <c r="F466" s="211">
        <v>26</v>
      </c>
      <c r="I466" s="218" t="str">
        <f>IFERROR(HLOOKUP('Air Source Heat Pump(s)'!D459,'phius_monthly climate data'!$L$3:$CA$83,'phius_monthly climate data'!$CD461,FALSE),"")</f>
        <v/>
      </c>
      <c r="CD466" s="215">
        <v>464</v>
      </c>
    </row>
    <row r="467" spans="1:82" x14ac:dyDescent="0.35">
      <c r="A467" s="211" t="s">
        <v>77</v>
      </c>
      <c r="B467" s="211" t="s">
        <v>27</v>
      </c>
      <c r="C467" s="216" t="s">
        <v>526</v>
      </c>
      <c r="D467" s="222">
        <v>93.1</v>
      </c>
      <c r="E467" s="222">
        <v>33.700000000000003</v>
      </c>
      <c r="F467" s="211">
        <v>39</v>
      </c>
      <c r="I467" s="218" t="str">
        <f>IFERROR(HLOOKUP('Air Source Heat Pump(s)'!D460,'phius_monthly climate data'!$L$3:$CA$83,'phius_monthly climate data'!$CD462,FALSE),"")</f>
        <v/>
      </c>
      <c r="CD467" s="215">
        <v>465</v>
      </c>
    </row>
    <row r="468" spans="1:82" x14ac:dyDescent="0.35">
      <c r="A468" s="211" t="s">
        <v>77</v>
      </c>
      <c r="B468" s="211" t="s">
        <v>27</v>
      </c>
      <c r="C468" s="216" t="s">
        <v>527</v>
      </c>
      <c r="D468" s="222">
        <v>93</v>
      </c>
      <c r="E468" s="222">
        <v>33.799999999999997</v>
      </c>
      <c r="F468" s="211">
        <v>37</v>
      </c>
      <c r="I468" s="218" t="str">
        <f>IFERROR(HLOOKUP('Air Source Heat Pump(s)'!D461,'phius_monthly climate data'!$L$3:$CA$83,'phius_monthly climate data'!$CD463,FALSE),"")</f>
        <v/>
      </c>
      <c r="CD468" s="215">
        <v>466</v>
      </c>
    </row>
    <row r="469" spans="1:82" x14ac:dyDescent="0.35">
      <c r="A469" s="211" t="s">
        <v>77</v>
      </c>
      <c r="B469" s="211" t="s">
        <v>27</v>
      </c>
      <c r="C469" s="216" t="s">
        <v>528</v>
      </c>
      <c r="D469" s="222">
        <v>95.8</v>
      </c>
      <c r="E469" s="222">
        <v>28.4</v>
      </c>
      <c r="F469" s="211">
        <v>30</v>
      </c>
      <c r="I469" s="218" t="str">
        <f>IFERROR(HLOOKUP('Air Source Heat Pump(s)'!D462,'phius_monthly climate data'!$L$3:$CA$83,'phius_monthly climate data'!$CD464,FALSE),"")</f>
        <v/>
      </c>
      <c r="CD469" s="215">
        <v>467</v>
      </c>
    </row>
    <row r="470" spans="1:82" x14ac:dyDescent="0.35">
      <c r="A470" s="211" t="s">
        <v>77</v>
      </c>
      <c r="B470" s="211" t="s">
        <v>27</v>
      </c>
      <c r="C470" s="216" t="s">
        <v>529</v>
      </c>
      <c r="D470" s="222">
        <v>92.8</v>
      </c>
      <c r="E470" s="222">
        <v>33.9</v>
      </c>
      <c r="F470" s="211">
        <v>38</v>
      </c>
      <c r="I470" s="218" t="str">
        <f>IFERROR(HLOOKUP('Air Source Heat Pump(s)'!D463,'phius_monthly climate data'!$L$3:$CA$83,'phius_monthly climate data'!$CD465,FALSE),"")</f>
        <v/>
      </c>
      <c r="CD470" s="215">
        <v>468</v>
      </c>
    </row>
    <row r="471" spans="1:82" x14ac:dyDescent="0.35">
      <c r="A471" s="211" t="s">
        <v>77</v>
      </c>
      <c r="B471" s="211" t="s">
        <v>27</v>
      </c>
      <c r="C471" s="216" t="s">
        <v>530</v>
      </c>
      <c r="D471" s="222">
        <v>91.6</v>
      </c>
      <c r="E471" s="222">
        <v>34.5</v>
      </c>
      <c r="F471" s="211">
        <v>45</v>
      </c>
      <c r="I471" s="218" t="str">
        <f>IFERROR(HLOOKUP('Air Source Heat Pump(s)'!D464,'phius_monthly climate data'!$L$3:$CA$83,'phius_monthly climate data'!$CD466,FALSE),"")</f>
        <v/>
      </c>
      <c r="CD471" s="215">
        <v>469</v>
      </c>
    </row>
    <row r="472" spans="1:82" x14ac:dyDescent="0.35">
      <c r="A472" s="211" t="s">
        <v>77</v>
      </c>
      <c r="B472" s="211" t="s">
        <v>27</v>
      </c>
      <c r="C472" s="216" t="s">
        <v>531</v>
      </c>
      <c r="D472" s="222">
        <v>92.5</v>
      </c>
      <c r="E472" s="222">
        <v>36.6</v>
      </c>
      <c r="F472" s="211">
        <v>37</v>
      </c>
      <c r="I472" s="218" t="str">
        <f>IFERROR(HLOOKUP('Air Source Heat Pump(s)'!D465,'phius_monthly climate data'!$L$3:$CA$83,'phius_monthly climate data'!$CD467,FALSE),"")</f>
        <v/>
      </c>
      <c r="CD472" s="215">
        <v>470</v>
      </c>
    </row>
    <row r="473" spans="1:82" x14ac:dyDescent="0.35">
      <c r="A473" s="211" t="s">
        <v>77</v>
      </c>
      <c r="B473" s="211" t="s">
        <v>27</v>
      </c>
      <c r="C473" s="216" t="s">
        <v>532</v>
      </c>
      <c r="D473" s="222">
        <v>92.6</v>
      </c>
      <c r="E473" s="222">
        <v>39.200000000000003</v>
      </c>
      <c r="F473" s="211">
        <v>42</v>
      </c>
      <c r="I473" s="218" t="str">
        <f>IFERROR(HLOOKUP('Air Source Heat Pump(s)'!D466,'phius_monthly climate data'!$L$3:$CA$83,'phius_monthly climate data'!$CD468,FALSE),"")</f>
        <v/>
      </c>
      <c r="CD473" s="215">
        <v>471</v>
      </c>
    </row>
    <row r="474" spans="1:82" x14ac:dyDescent="0.35">
      <c r="A474" s="211" t="s">
        <v>77</v>
      </c>
      <c r="B474" s="211" t="s">
        <v>27</v>
      </c>
      <c r="C474" s="216" t="s">
        <v>533</v>
      </c>
      <c r="D474" s="222">
        <v>91.2</v>
      </c>
      <c r="E474" s="222">
        <v>35.5</v>
      </c>
      <c r="F474" s="211">
        <v>43</v>
      </c>
      <c r="I474" s="218" t="str">
        <f>IFERROR(HLOOKUP('Air Source Heat Pump(s)'!D467,'phius_monthly climate data'!$L$3:$CA$83,'phius_monthly climate data'!$CD469,FALSE),"")</f>
        <v/>
      </c>
      <c r="CD474" s="215">
        <v>472</v>
      </c>
    </row>
    <row r="475" spans="1:82" x14ac:dyDescent="0.35">
      <c r="A475" s="211" t="s">
        <v>77</v>
      </c>
      <c r="B475" s="211" t="s">
        <v>27</v>
      </c>
      <c r="C475" s="216" t="s">
        <v>534</v>
      </c>
      <c r="D475" s="222">
        <v>97.1</v>
      </c>
      <c r="E475" s="222">
        <v>29.1</v>
      </c>
      <c r="F475" s="211">
        <v>30</v>
      </c>
      <c r="I475" s="218" t="str">
        <f>IFERROR(HLOOKUP('Air Source Heat Pump(s)'!D468,'phius_monthly climate data'!$L$3:$CA$83,'phius_monthly climate data'!$CD470,FALSE),"")</f>
        <v/>
      </c>
      <c r="CD475" s="215">
        <v>473</v>
      </c>
    </row>
    <row r="476" spans="1:82" x14ac:dyDescent="0.35">
      <c r="A476" s="211" t="s">
        <v>77</v>
      </c>
      <c r="B476" s="211" t="s">
        <v>27</v>
      </c>
      <c r="C476" s="216" t="s">
        <v>535</v>
      </c>
      <c r="D476" s="222">
        <v>96.7</v>
      </c>
      <c r="E476" s="222">
        <v>29</v>
      </c>
      <c r="F476" s="211">
        <v>28</v>
      </c>
      <c r="I476" s="218" t="str">
        <f>IFERROR(HLOOKUP('Air Source Heat Pump(s)'!D469,'phius_monthly climate data'!$L$3:$CA$83,'phius_monthly climate data'!$CD471,FALSE),"")</f>
        <v/>
      </c>
      <c r="CD476" s="215">
        <v>474</v>
      </c>
    </row>
    <row r="477" spans="1:82" x14ac:dyDescent="0.35">
      <c r="A477" s="211" t="s">
        <v>77</v>
      </c>
      <c r="B477" s="211" t="s">
        <v>28</v>
      </c>
      <c r="C477" s="216" t="s">
        <v>536</v>
      </c>
      <c r="D477" s="222">
        <v>81.5</v>
      </c>
      <c r="E477" s="222">
        <v>15.4</v>
      </c>
      <c r="F477" s="211">
        <v>14</v>
      </c>
      <c r="I477" s="218" t="str">
        <f>IFERROR(HLOOKUP('Air Source Heat Pump(s)'!D470,'phius_monthly climate data'!$L$3:$CA$83,'phius_monthly climate data'!$CD472,FALSE),"")</f>
        <v/>
      </c>
      <c r="CD477" s="215">
        <v>475</v>
      </c>
    </row>
    <row r="478" spans="1:82" x14ac:dyDescent="0.35">
      <c r="A478" s="211" t="s">
        <v>77</v>
      </c>
      <c r="B478" s="211" t="s">
        <v>28</v>
      </c>
      <c r="C478" s="216" t="s">
        <v>537</v>
      </c>
      <c r="D478" s="222">
        <v>85.9</v>
      </c>
      <c r="E478" s="222">
        <v>9.5</v>
      </c>
      <c r="F478" s="211">
        <v>6</v>
      </c>
      <c r="I478" s="218" t="str">
        <f>IFERROR(HLOOKUP('Air Source Heat Pump(s)'!D471,'phius_monthly climate data'!$L$3:$CA$83,'phius_monthly climate data'!$CD473,FALSE),"")</f>
        <v/>
      </c>
      <c r="CD478" s="215">
        <v>476</v>
      </c>
    </row>
    <row r="479" spans="1:82" x14ac:dyDescent="0.35">
      <c r="A479" s="211" t="s">
        <v>77</v>
      </c>
      <c r="B479" s="211" t="s">
        <v>28</v>
      </c>
      <c r="C479" s="216" t="s">
        <v>538</v>
      </c>
      <c r="D479" s="222">
        <v>87.6</v>
      </c>
      <c r="E479" s="222">
        <v>13.4</v>
      </c>
      <c r="F479" s="211">
        <v>17</v>
      </c>
      <c r="I479" s="218" t="str">
        <f>IFERROR(HLOOKUP('Air Source Heat Pump(s)'!D472,'phius_monthly climate data'!$L$3:$CA$83,'phius_monthly climate data'!$CD474,FALSE),"")</f>
        <v/>
      </c>
      <c r="CD479" s="215">
        <v>477</v>
      </c>
    </row>
    <row r="480" spans="1:82" x14ac:dyDescent="0.35">
      <c r="A480" s="211" t="s">
        <v>77</v>
      </c>
      <c r="B480" s="211" t="s">
        <v>28</v>
      </c>
      <c r="C480" s="216" t="s">
        <v>539</v>
      </c>
      <c r="D480" s="222">
        <v>87.7</v>
      </c>
      <c r="E480" s="222">
        <v>5.6</v>
      </c>
      <c r="F480" s="211">
        <v>21</v>
      </c>
      <c r="I480" s="218" t="str">
        <f>IFERROR(HLOOKUP('Air Source Heat Pump(s)'!D473,'phius_monthly climate data'!$L$3:$CA$83,'phius_monthly climate data'!$CD475,FALSE),"")</f>
        <v/>
      </c>
      <c r="CD480" s="215">
        <v>478</v>
      </c>
    </row>
    <row r="481" spans="1:82" x14ac:dyDescent="0.35">
      <c r="A481" s="211" t="s">
        <v>77</v>
      </c>
      <c r="B481" s="211" t="s">
        <v>28</v>
      </c>
      <c r="C481" s="216" t="s">
        <v>540</v>
      </c>
      <c r="D481" s="222">
        <v>87.9</v>
      </c>
      <c r="E481" s="222">
        <v>9.8000000000000007</v>
      </c>
      <c r="F481" s="211">
        <v>8</v>
      </c>
      <c r="I481" s="218" t="str">
        <f>IFERROR(HLOOKUP('Air Source Heat Pump(s)'!D474,'phius_monthly climate data'!$L$3:$CA$83,'phius_monthly climate data'!$CD476,FALSE),"")</f>
        <v/>
      </c>
      <c r="CD481" s="215">
        <v>479</v>
      </c>
    </row>
    <row r="482" spans="1:82" x14ac:dyDescent="0.35">
      <c r="A482" s="211" t="s">
        <v>77</v>
      </c>
      <c r="B482" s="211" t="s">
        <v>28</v>
      </c>
      <c r="C482" s="216" t="s">
        <v>541</v>
      </c>
      <c r="D482" s="222">
        <v>81.400000000000006</v>
      </c>
      <c r="E482" s="222">
        <v>14.4</v>
      </c>
      <c r="F482" s="211">
        <v>15</v>
      </c>
      <c r="I482" s="218" t="str">
        <f>IFERROR(HLOOKUP('Air Source Heat Pump(s)'!D475,'phius_monthly climate data'!$L$3:$CA$83,'phius_monthly climate data'!$CD477,FALSE),"")</f>
        <v/>
      </c>
      <c r="CD482" s="215">
        <v>480</v>
      </c>
    </row>
    <row r="483" spans="1:82" x14ac:dyDescent="0.35">
      <c r="A483" s="211" t="s">
        <v>77</v>
      </c>
      <c r="B483" s="211" t="s">
        <v>28</v>
      </c>
      <c r="C483" s="216" t="s">
        <v>542</v>
      </c>
      <c r="D483" s="222">
        <v>76.8</v>
      </c>
      <c r="E483" s="222">
        <v>18.5</v>
      </c>
      <c r="F483" s="211">
        <v>19</v>
      </c>
      <c r="I483" s="218" t="str">
        <f>IFERROR(HLOOKUP('Air Source Heat Pump(s)'!D476,'phius_monthly climate data'!$L$3:$CA$83,'phius_monthly climate data'!$CD478,FALSE),"")</f>
        <v/>
      </c>
      <c r="CD483" s="215">
        <v>481</v>
      </c>
    </row>
    <row r="484" spans="1:82" x14ac:dyDescent="0.35">
      <c r="A484" s="211" t="s">
        <v>77</v>
      </c>
      <c r="B484" s="211" t="s">
        <v>28</v>
      </c>
      <c r="C484" s="216" t="s">
        <v>543</v>
      </c>
      <c r="D484" s="222">
        <v>84.5</v>
      </c>
      <c r="E484" s="222">
        <v>12.4</v>
      </c>
      <c r="F484" s="211">
        <v>12</v>
      </c>
      <c r="I484" s="218" t="str">
        <f>IFERROR(HLOOKUP('Air Source Heat Pump(s)'!D477,'phius_monthly climate data'!$L$3:$CA$83,'phius_monthly climate data'!$CD479,FALSE),"")</f>
        <v/>
      </c>
      <c r="CD484" s="215">
        <v>482</v>
      </c>
    </row>
    <row r="485" spans="1:82" x14ac:dyDescent="0.35">
      <c r="A485" s="211" t="s">
        <v>77</v>
      </c>
      <c r="B485" s="211" t="s">
        <v>28</v>
      </c>
      <c r="C485" s="216" t="s">
        <v>544</v>
      </c>
      <c r="D485" s="222">
        <v>84</v>
      </c>
      <c r="E485" s="222">
        <v>3.2</v>
      </c>
      <c r="F485" s="211">
        <v>18</v>
      </c>
      <c r="I485" s="218" t="str">
        <f>IFERROR(HLOOKUP('Air Source Heat Pump(s)'!D478,'phius_monthly climate data'!$L$3:$CA$83,'phius_monthly climate data'!$CD480,FALSE),"")</f>
        <v/>
      </c>
      <c r="CD485" s="215">
        <v>483</v>
      </c>
    </row>
    <row r="486" spans="1:82" x14ac:dyDescent="0.35">
      <c r="A486" s="211" t="s">
        <v>77</v>
      </c>
      <c r="B486" s="211" t="s">
        <v>28</v>
      </c>
      <c r="C486" s="216" t="s">
        <v>545</v>
      </c>
      <c r="D486" s="222">
        <v>87.9</v>
      </c>
      <c r="E486" s="222">
        <v>9</v>
      </c>
      <c r="F486" s="211">
        <v>9</v>
      </c>
      <c r="I486" s="218" t="str">
        <f>IFERROR(HLOOKUP('Air Source Heat Pump(s)'!D479,'phius_monthly climate data'!$L$3:$CA$83,'phius_monthly climate data'!$CD481,FALSE),"")</f>
        <v/>
      </c>
      <c r="CD486" s="215">
        <v>484</v>
      </c>
    </row>
    <row r="487" spans="1:82" x14ac:dyDescent="0.35">
      <c r="A487" s="211" t="s">
        <v>77</v>
      </c>
      <c r="B487" s="211" t="s">
        <v>28</v>
      </c>
      <c r="C487" s="216" t="s">
        <v>546</v>
      </c>
      <c r="D487" s="222">
        <v>81.8</v>
      </c>
      <c r="E487" s="222">
        <v>13</v>
      </c>
      <c r="F487" s="211">
        <v>25</v>
      </c>
      <c r="I487" s="218" t="str">
        <f>IFERROR(HLOOKUP('Air Source Heat Pump(s)'!D480,'phius_monthly climate data'!$L$3:$CA$83,'phius_monthly climate data'!$CD482,FALSE),"")</f>
        <v/>
      </c>
      <c r="CD487" s="215">
        <v>485</v>
      </c>
    </row>
    <row r="488" spans="1:82" x14ac:dyDescent="0.35">
      <c r="A488" s="211" t="s">
        <v>77</v>
      </c>
      <c r="B488" s="211" t="s">
        <v>28</v>
      </c>
      <c r="C488" s="216" t="s">
        <v>547</v>
      </c>
      <c r="D488" s="222">
        <v>85.3</v>
      </c>
      <c r="E488" s="222">
        <v>10.3</v>
      </c>
      <c r="F488" s="211">
        <v>9</v>
      </c>
      <c r="I488" s="218" t="str">
        <f>IFERROR(HLOOKUP('Air Source Heat Pump(s)'!D481,'phius_monthly climate data'!$L$3:$CA$83,'phius_monthly climate data'!$CD483,FALSE),"")</f>
        <v/>
      </c>
      <c r="CD488" s="215">
        <v>486</v>
      </c>
    </row>
    <row r="489" spans="1:82" x14ac:dyDescent="0.35">
      <c r="A489" s="211" t="s">
        <v>77</v>
      </c>
      <c r="B489" s="211" t="s">
        <v>28</v>
      </c>
      <c r="C489" s="216" t="s">
        <v>548</v>
      </c>
      <c r="D489" s="222">
        <v>81</v>
      </c>
      <c r="E489" s="222">
        <v>18</v>
      </c>
      <c r="F489" s="211">
        <v>18</v>
      </c>
      <c r="I489" s="218" t="str">
        <f>IFERROR(HLOOKUP('Air Source Heat Pump(s)'!D482,'phius_monthly climate data'!$L$3:$CA$83,'phius_monthly climate data'!$CD484,FALSE),"")</f>
        <v/>
      </c>
      <c r="CD489" s="215">
        <v>487</v>
      </c>
    </row>
    <row r="490" spans="1:82" x14ac:dyDescent="0.35">
      <c r="A490" s="211" t="s">
        <v>77</v>
      </c>
      <c r="B490" s="211" t="s">
        <v>28</v>
      </c>
      <c r="C490" s="216" t="s">
        <v>549</v>
      </c>
      <c r="D490" s="222">
        <v>88.3</v>
      </c>
      <c r="E490" s="222">
        <v>6.7</v>
      </c>
      <c r="F490" s="211">
        <v>6</v>
      </c>
      <c r="I490" s="218" t="str">
        <f>IFERROR(HLOOKUP('Air Source Heat Pump(s)'!D483,'phius_monthly climate data'!$L$3:$CA$83,'phius_monthly climate data'!$CD485,FALSE),"")</f>
        <v/>
      </c>
      <c r="CD490" s="215">
        <v>488</v>
      </c>
    </row>
    <row r="491" spans="1:82" x14ac:dyDescent="0.35">
      <c r="A491" s="211" t="s">
        <v>77</v>
      </c>
      <c r="B491" s="211" t="s">
        <v>28</v>
      </c>
      <c r="C491" s="216" t="s">
        <v>550</v>
      </c>
      <c r="D491" s="222">
        <v>83.2</v>
      </c>
      <c r="E491" s="222">
        <v>7.1</v>
      </c>
      <c r="F491" s="211">
        <v>9</v>
      </c>
      <c r="I491" s="218" t="str">
        <f>IFERROR(HLOOKUP('Air Source Heat Pump(s)'!D484,'phius_monthly climate data'!$L$3:$CA$83,'phius_monthly climate data'!$CD486,FALSE),"")</f>
        <v/>
      </c>
      <c r="CD491" s="215">
        <v>489</v>
      </c>
    </row>
    <row r="492" spans="1:82" x14ac:dyDescent="0.35">
      <c r="A492" s="211" t="s">
        <v>77</v>
      </c>
      <c r="B492" s="211" t="s">
        <v>29</v>
      </c>
      <c r="C492" s="216" t="s">
        <v>551</v>
      </c>
      <c r="D492" s="222">
        <v>83.5</v>
      </c>
      <c r="E492" s="222">
        <v>-21.4</v>
      </c>
      <c r="F492" s="211">
        <v>-19</v>
      </c>
      <c r="I492" s="218" t="str">
        <f>IFERROR(HLOOKUP('Air Source Heat Pump(s)'!D485,'phius_monthly climate data'!$L$3:$CA$83,'phius_monthly climate data'!$CD487,FALSE),"")</f>
        <v/>
      </c>
      <c r="CD492" s="215">
        <v>490</v>
      </c>
    </row>
    <row r="493" spans="1:82" x14ac:dyDescent="0.35">
      <c r="A493" s="211" t="s">
        <v>77</v>
      </c>
      <c r="B493" s="211" t="s">
        <v>30</v>
      </c>
      <c r="C493" s="216" t="s">
        <v>552</v>
      </c>
      <c r="D493" s="222">
        <v>91</v>
      </c>
      <c r="E493" s="222">
        <v>18.7</v>
      </c>
      <c r="F493" s="211">
        <v>18</v>
      </c>
      <c r="I493" s="218" t="str">
        <f>IFERROR(HLOOKUP('Air Source Heat Pump(s)'!D486,'phius_monthly climate data'!$L$3:$CA$83,'phius_monthly climate data'!$CD488,FALSE),"")</f>
        <v/>
      </c>
      <c r="CD493" s="215">
        <v>491</v>
      </c>
    </row>
    <row r="494" spans="1:82" x14ac:dyDescent="0.35">
      <c r="A494" s="211" t="s">
        <v>77</v>
      </c>
      <c r="B494" s="211" t="s">
        <v>30</v>
      </c>
      <c r="C494" s="216" t="s">
        <v>553</v>
      </c>
      <c r="D494" s="222">
        <v>91.4</v>
      </c>
      <c r="E494" s="222">
        <v>18.399999999999999</v>
      </c>
      <c r="F494" s="211">
        <v>22</v>
      </c>
      <c r="I494" s="218" t="str">
        <f>IFERROR(HLOOKUP('Air Source Heat Pump(s)'!D487,'phius_monthly climate data'!$L$3:$CA$83,'phius_monthly climate data'!$CD489,FALSE),"")</f>
        <v/>
      </c>
      <c r="CD494" s="215">
        <v>492</v>
      </c>
    </row>
    <row r="495" spans="1:82" x14ac:dyDescent="0.35">
      <c r="A495" s="211" t="s">
        <v>77</v>
      </c>
      <c r="B495" s="211" t="s">
        <v>30</v>
      </c>
      <c r="C495" s="216" t="s">
        <v>554</v>
      </c>
      <c r="D495" s="222">
        <v>89.6</v>
      </c>
      <c r="E495" s="222">
        <v>16</v>
      </c>
      <c r="F495" s="211">
        <v>17</v>
      </c>
      <c r="I495" s="218" t="str">
        <f>IFERROR(HLOOKUP('Air Source Heat Pump(s)'!D488,'phius_monthly climate data'!$L$3:$CA$83,'phius_monthly climate data'!$CD490,FALSE),"")</f>
        <v/>
      </c>
      <c r="CD495" s="215">
        <v>493</v>
      </c>
    </row>
    <row r="496" spans="1:82" x14ac:dyDescent="0.35">
      <c r="A496" s="211" t="s">
        <v>77</v>
      </c>
      <c r="B496" s="211" t="s">
        <v>30</v>
      </c>
      <c r="C496" s="216" t="s">
        <v>555</v>
      </c>
      <c r="D496" s="222">
        <v>90</v>
      </c>
      <c r="E496" s="222">
        <v>21.5</v>
      </c>
      <c r="F496" s="211">
        <v>32</v>
      </c>
      <c r="I496" s="218" t="str">
        <f>IFERROR(HLOOKUP('Air Source Heat Pump(s)'!D489,'phius_monthly climate data'!$L$3:$CA$83,'phius_monthly climate data'!$CD491,FALSE),"")</f>
        <v/>
      </c>
      <c r="CD496" s="215">
        <v>494</v>
      </c>
    </row>
    <row r="497" spans="1:82" x14ac:dyDescent="0.35">
      <c r="A497" s="211" t="s">
        <v>77</v>
      </c>
      <c r="B497" s="211" t="s">
        <v>30</v>
      </c>
      <c r="C497" s="216" t="s">
        <v>556</v>
      </c>
      <c r="D497" s="222">
        <v>90</v>
      </c>
      <c r="E497" s="222">
        <v>21.5</v>
      </c>
      <c r="F497" s="211">
        <v>27</v>
      </c>
      <c r="I497" s="218" t="str">
        <f>IFERROR(HLOOKUP('Air Source Heat Pump(s)'!D490,'phius_monthly climate data'!$L$3:$CA$83,'phius_monthly climate data'!$CD492,FALSE),"")</f>
        <v/>
      </c>
      <c r="CD497" s="215">
        <v>495</v>
      </c>
    </row>
    <row r="498" spans="1:82" x14ac:dyDescent="0.35">
      <c r="A498" s="211" t="s">
        <v>77</v>
      </c>
      <c r="B498" s="211" t="s">
        <v>31</v>
      </c>
      <c r="C498" s="216" t="s">
        <v>557</v>
      </c>
      <c r="D498" s="222">
        <v>83.6</v>
      </c>
      <c r="E498" s="222">
        <v>0.1</v>
      </c>
      <c r="F498" s="211">
        <v>3</v>
      </c>
      <c r="I498" s="218" t="str">
        <f>IFERROR(HLOOKUP('Air Source Heat Pump(s)'!D491,'phius_monthly climate data'!$L$3:$CA$83,'phius_monthly climate data'!$CD493,FALSE),"")</f>
        <v/>
      </c>
      <c r="CD498" s="215">
        <v>496</v>
      </c>
    </row>
    <row r="499" spans="1:82" x14ac:dyDescent="0.35">
      <c r="A499" s="211" t="s">
        <v>77</v>
      </c>
      <c r="B499" s="211" t="s">
        <v>31</v>
      </c>
      <c r="C499" s="216" t="s">
        <v>558</v>
      </c>
      <c r="D499" s="222">
        <v>83.8</v>
      </c>
      <c r="E499" s="222">
        <v>1.7</v>
      </c>
      <c r="F499" s="211">
        <v>2</v>
      </c>
      <c r="I499" s="218" t="str">
        <f>IFERROR(HLOOKUP('Air Source Heat Pump(s)'!D492,'phius_monthly climate data'!$L$3:$CA$83,'phius_monthly climate data'!$CD494,FALSE),"")</f>
        <v/>
      </c>
      <c r="CD499" s="215">
        <v>497</v>
      </c>
    </row>
    <row r="500" spans="1:82" x14ac:dyDescent="0.35">
      <c r="A500" s="211" t="s">
        <v>77</v>
      </c>
      <c r="B500" s="211" t="s">
        <v>31</v>
      </c>
      <c r="C500" s="216" t="s">
        <v>559</v>
      </c>
      <c r="D500" s="222">
        <v>84.2</v>
      </c>
      <c r="E500" s="222">
        <v>-1.8</v>
      </c>
      <c r="F500" s="211">
        <v>1</v>
      </c>
      <c r="I500" s="218" t="str">
        <f>IFERROR(HLOOKUP('Air Source Heat Pump(s)'!D493,'phius_monthly climate data'!$L$3:$CA$83,'phius_monthly climate data'!$CD495,FALSE),"")</f>
        <v/>
      </c>
      <c r="CD500" s="215">
        <v>498</v>
      </c>
    </row>
    <row r="501" spans="1:82" x14ac:dyDescent="0.35">
      <c r="A501" s="211" t="s">
        <v>77</v>
      </c>
      <c r="B501" s="211" t="s">
        <v>31</v>
      </c>
      <c r="C501" s="216" t="s">
        <v>560</v>
      </c>
      <c r="D501" s="222">
        <v>79</v>
      </c>
      <c r="E501" s="222">
        <v>1.4</v>
      </c>
      <c r="F501" s="211">
        <v>6</v>
      </c>
      <c r="I501" s="218" t="str">
        <f>IFERROR(HLOOKUP('Air Source Heat Pump(s)'!D494,'phius_monthly climate data'!$L$3:$CA$83,'phius_monthly climate data'!$CD496,FALSE),"")</f>
        <v/>
      </c>
      <c r="CD501" s="215">
        <v>499</v>
      </c>
    </row>
    <row r="502" spans="1:82" x14ac:dyDescent="0.35">
      <c r="A502" s="211" t="s">
        <v>77</v>
      </c>
      <c r="B502" s="211" t="s">
        <v>31</v>
      </c>
      <c r="C502" s="216" t="s">
        <v>561</v>
      </c>
      <c r="D502" s="222">
        <v>81.2</v>
      </c>
      <c r="E502" s="222">
        <v>-9.6999999999999993</v>
      </c>
      <c r="F502" s="211">
        <v>-1</v>
      </c>
      <c r="I502" s="218" t="str">
        <f>IFERROR(HLOOKUP('Air Source Heat Pump(s)'!D495,'phius_monthly climate data'!$L$3:$CA$83,'phius_monthly climate data'!$CD497,FALSE),"")</f>
        <v/>
      </c>
      <c r="CD502" s="215">
        <v>500</v>
      </c>
    </row>
    <row r="503" spans="1:82" x14ac:dyDescent="0.35">
      <c r="A503" s="211" t="s">
        <v>77</v>
      </c>
      <c r="B503" s="211" t="s">
        <v>31</v>
      </c>
      <c r="C503" s="216" t="s">
        <v>562</v>
      </c>
      <c r="D503" s="222">
        <v>82.2</v>
      </c>
      <c r="E503" s="222">
        <v>-9.6</v>
      </c>
      <c r="F503" s="211">
        <v>-5</v>
      </c>
      <c r="I503" s="218" t="str">
        <f>IFERROR(HLOOKUP('Air Source Heat Pump(s)'!D496,'phius_monthly climate data'!$L$3:$CA$83,'phius_monthly climate data'!$CD498,FALSE),"")</f>
        <v/>
      </c>
      <c r="CD503" s="215">
        <v>501</v>
      </c>
    </row>
    <row r="504" spans="1:82" x14ac:dyDescent="0.35">
      <c r="A504" s="211" t="s">
        <v>77</v>
      </c>
      <c r="B504" s="211" t="s">
        <v>31</v>
      </c>
      <c r="C504" s="216" t="s">
        <v>563</v>
      </c>
      <c r="D504" s="222">
        <v>83.1</v>
      </c>
      <c r="E504" s="222">
        <v>-4.2</v>
      </c>
      <c r="F504" s="211">
        <v>0</v>
      </c>
      <c r="I504" s="218" t="str">
        <f>IFERROR(HLOOKUP('Air Source Heat Pump(s)'!D497,'phius_monthly climate data'!$L$3:$CA$83,'phius_monthly climate data'!$CD499,FALSE),"")</f>
        <v/>
      </c>
      <c r="CD504" s="215">
        <v>502</v>
      </c>
    </row>
    <row r="505" spans="1:82" x14ac:dyDescent="0.35">
      <c r="A505" s="211" t="s">
        <v>77</v>
      </c>
      <c r="B505" s="211" t="s">
        <v>31</v>
      </c>
      <c r="C505" s="216" t="s">
        <v>564</v>
      </c>
      <c r="D505" s="222">
        <v>79</v>
      </c>
      <c r="E505" s="222">
        <v>-8.9</v>
      </c>
      <c r="F505" s="211">
        <v>0</v>
      </c>
      <c r="I505" s="218" t="str">
        <f>IFERROR(HLOOKUP('Air Source Heat Pump(s)'!D498,'phius_monthly climate data'!$L$3:$CA$83,'phius_monthly climate data'!$CD500,FALSE),"")</f>
        <v/>
      </c>
      <c r="CD505" s="215">
        <v>503</v>
      </c>
    </row>
    <row r="506" spans="1:82" x14ac:dyDescent="0.35">
      <c r="A506" s="211" t="s">
        <v>77</v>
      </c>
      <c r="B506" s="211" t="s">
        <v>31</v>
      </c>
      <c r="C506" s="216" t="s">
        <v>565</v>
      </c>
      <c r="D506" s="222">
        <v>83.3</v>
      </c>
      <c r="E506" s="222">
        <v>5.2</v>
      </c>
      <c r="F506" s="211">
        <v>5</v>
      </c>
      <c r="I506" s="218" t="str">
        <f>IFERROR(HLOOKUP('Air Source Heat Pump(s)'!D499,'phius_monthly climate data'!$L$3:$CA$83,'phius_monthly climate data'!$CD501,FALSE),"")</f>
        <v/>
      </c>
      <c r="CD506" s="215">
        <v>504</v>
      </c>
    </row>
    <row r="507" spans="1:82" x14ac:dyDescent="0.35">
      <c r="A507" s="211" t="s">
        <v>77</v>
      </c>
      <c r="B507" s="211" t="s">
        <v>31</v>
      </c>
      <c r="C507" s="216" t="s">
        <v>566</v>
      </c>
      <c r="D507" s="222">
        <v>81.599999999999994</v>
      </c>
      <c r="E507" s="222">
        <v>-11.4</v>
      </c>
      <c r="F507" s="211">
        <v>-10</v>
      </c>
      <c r="I507" s="218" t="str">
        <f>IFERROR(HLOOKUP('Air Source Heat Pump(s)'!D500,'phius_monthly climate data'!$L$3:$CA$83,'phius_monthly climate data'!$CD502,FALSE),"")</f>
        <v/>
      </c>
      <c r="CD507" s="215">
        <v>505</v>
      </c>
    </row>
    <row r="508" spans="1:82" x14ac:dyDescent="0.35">
      <c r="A508" s="211" t="s">
        <v>77</v>
      </c>
      <c r="B508" s="211" t="s">
        <v>31</v>
      </c>
      <c r="C508" s="216" t="s">
        <v>567</v>
      </c>
      <c r="D508" s="222">
        <v>78.900000000000006</v>
      </c>
      <c r="E508" s="222">
        <v>3.1</v>
      </c>
      <c r="F508" s="211">
        <v>8</v>
      </c>
      <c r="I508" s="218" t="str">
        <f>IFERROR(HLOOKUP('Air Source Heat Pump(s)'!D501,'phius_monthly climate data'!$L$3:$CA$83,'phius_monthly climate data'!$CD503,FALSE),"")</f>
        <v/>
      </c>
      <c r="CD508" s="215">
        <v>506</v>
      </c>
    </row>
    <row r="509" spans="1:82" x14ac:dyDescent="0.35">
      <c r="A509" s="211" t="s">
        <v>77</v>
      </c>
      <c r="B509" s="211" t="s">
        <v>31</v>
      </c>
      <c r="C509" s="216" t="s">
        <v>568</v>
      </c>
      <c r="D509" s="222">
        <v>85.7</v>
      </c>
      <c r="E509" s="222">
        <v>0.3</v>
      </c>
      <c r="F509" s="211">
        <v>2</v>
      </c>
      <c r="I509" s="218" t="str">
        <f>IFERROR(HLOOKUP('Air Source Heat Pump(s)'!D502,'phius_monthly climate data'!$L$3:$CA$83,'phius_monthly climate data'!$CD504,FALSE),"")</f>
        <v/>
      </c>
      <c r="CD509" s="215">
        <v>507</v>
      </c>
    </row>
    <row r="510" spans="1:82" x14ac:dyDescent="0.35">
      <c r="A510" s="211" t="s">
        <v>77</v>
      </c>
      <c r="B510" s="211" t="s">
        <v>31</v>
      </c>
      <c r="C510" s="216" t="s">
        <v>569</v>
      </c>
      <c r="D510" s="222">
        <v>82.2</v>
      </c>
      <c r="E510" s="222">
        <v>0</v>
      </c>
      <c r="F510" s="211">
        <v>5</v>
      </c>
      <c r="I510" s="218" t="str">
        <f>IFERROR(HLOOKUP('Air Source Heat Pump(s)'!D503,'phius_monthly climate data'!$L$3:$CA$83,'phius_monthly climate data'!$CD505,FALSE),"")</f>
        <v/>
      </c>
      <c r="CD510" s="215">
        <v>508</v>
      </c>
    </row>
    <row r="511" spans="1:82" x14ac:dyDescent="0.35">
      <c r="A511" s="211" t="s">
        <v>77</v>
      </c>
      <c r="B511" s="211" t="s">
        <v>31</v>
      </c>
      <c r="C511" s="216" t="s">
        <v>570</v>
      </c>
      <c r="D511" s="222">
        <v>82.1</v>
      </c>
      <c r="E511" s="222">
        <v>1.4</v>
      </c>
      <c r="F511" s="211">
        <v>6</v>
      </c>
      <c r="I511" s="218" t="str">
        <f>IFERROR(HLOOKUP('Air Source Heat Pump(s)'!D504,'phius_monthly climate data'!$L$3:$CA$83,'phius_monthly climate data'!$CD506,FALSE),"")</f>
        <v/>
      </c>
      <c r="CD511" s="215">
        <v>509</v>
      </c>
    </row>
    <row r="512" spans="1:82" x14ac:dyDescent="0.35">
      <c r="A512" s="211" t="s">
        <v>77</v>
      </c>
      <c r="B512" s="211" t="s">
        <v>32</v>
      </c>
      <c r="C512" s="216" t="s">
        <v>571</v>
      </c>
      <c r="D512" s="222">
        <v>84.1</v>
      </c>
      <c r="E512" s="222">
        <v>0.6</v>
      </c>
      <c r="F512" s="211">
        <v>6</v>
      </c>
      <c r="I512" s="218" t="str">
        <f>IFERROR(HLOOKUP('Air Source Heat Pump(s)'!D505,'phius_monthly climate data'!$L$3:$CA$83,'phius_monthly climate data'!$CD507,FALSE),"")</f>
        <v/>
      </c>
      <c r="CD512" s="215">
        <v>510</v>
      </c>
    </row>
    <row r="513" spans="1:82" x14ac:dyDescent="0.35">
      <c r="A513" s="211" t="s">
        <v>77</v>
      </c>
      <c r="B513" s="211" t="s">
        <v>32</v>
      </c>
      <c r="C513" s="216" t="s">
        <v>572</v>
      </c>
      <c r="D513" s="222">
        <v>87.4</v>
      </c>
      <c r="E513" s="222">
        <v>4.5</v>
      </c>
      <c r="F513" s="211">
        <v>13</v>
      </c>
      <c r="I513" s="218" t="str">
        <f>IFERROR(HLOOKUP('Air Source Heat Pump(s)'!D506,'phius_monthly climate data'!$L$3:$CA$83,'phius_monthly climate data'!$CD508,FALSE),"")</f>
        <v/>
      </c>
      <c r="CD513" s="215">
        <v>511</v>
      </c>
    </row>
    <row r="514" spans="1:82" x14ac:dyDescent="0.35">
      <c r="A514" s="211" t="s">
        <v>77</v>
      </c>
      <c r="B514" s="211" t="s">
        <v>32</v>
      </c>
      <c r="C514" s="216" t="s">
        <v>573</v>
      </c>
      <c r="D514" s="222">
        <v>86.8</v>
      </c>
      <c r="E514" s="222">
        <v>7</v>
      </c>
      <c r="F514" s="211">
        <v>11</v>
      </c>
      <c r="I514" s="218" t="str">
        <f>IFERROR(HLOOKUP('Air Source Heat Pump(s)'!D507,'phius_monthly climate data'!$L$3:$CA$83,'phius_monthly climate data'!$CD509,FALSE),"")</f>
        <v/>
      </c>
      <c r="CD514" s="215">
        <v>512</v>
      </c>
    </row>
    <row r="515" spans="1:82" x14ac:dyDescent="0.35">
      <c r="A515" s="211" t="s">
        <v>77</v>
      </c>
      <c r="B515" s="211" t="s">
        <v>32</v>
      </c>
      <c r="C515" s="216" t="s">
        <v>574</v>
      </c>
      <c r="D515" s="222">
        <v>86.2</v>
      </c>
      <c r="E515" s="222">
        <v>9.8000000000000007</v>
      </c>
      <c r="F515" s="211">
        <v>13</v>
      </c>
      <c r="I515" s="218" t="str">
        <f>IFERROR(HLOOKUP('Air Source Heat Pump(s)'!D508,'phius_monthly climate data'!$L$3:$CA$83,'phius_monthly climate data'!$CD510,FALSE),"")</f>
        <v/>
      </c>
      <c r="CD515" s="215">
        <v>513</v>
      </c>
    </row>
    <row r="516" spans="1:82" x14ac:dyDescent="0.35">
      <c r="A516" s="211" t="s">
        <v>77</v>
      </c>
      <c r="B516" s="211" t="s">
        <v>32</v>
      </c>
      <c r="C516" s="216" t="s">
        <v>575</v>
      </c>
      <c r="D516" s="222">
        <v>83.6</v>
      </c>
      <c r="E516" s="222">
        <v>-0.3</v>
      </c>
      <c r="F516" s="211">
        <v>9</v>
      </c>
      <c r="I516" s="218" t="str">
        <f>IFERROR(HLOOKUP('Air Source Heat Pump(s)'!D509,'phius_monthly climate data'!$L$3:$CA$83,'phius_monthly climate data'!$CD511,FALSE),"")</f>
        <v/>
      </c>
      <c r="CD516" s="215">
        <v>514</v>
      </c>
    </row>
    <row r="517" spans="1:82" x14ac:dyDescent="0.35">
      <c r="A517" s="211" t="s">
        <v>77</v>
      </c>
      <c r="B517" s="211" t="s">
        <v>32</v>
      </c>
      <c r="C517" s="216" t="s">
        <v>576</v>
      </c>
      <c r="D517" s="222">
        <v>80.900000000000006</v>
      </c>
      <c r="E517" s="222">
        <v>-4.4000000000000004</v>
      </c>
      <c r="F517" s="211">
        <v>-2</v>
      </c>
      <c r="I517" s="218" t="str">
        <f>IFERROR(HLOOKUP('Air Source Heat Pump(s)'!D510,'phius_monthly climate data'!$L$3:$CA$83,'phius_monthly climate data'!$CD512,FALSE),"")</f>
        <v/>
      </c>
      <c r="CD517" s="215">
        <v>515</v>
      </c>
    </row>
    <row r="518" spans="1:82" x14ac:dyDescent="0.35">
      <c r="A518" s="211" t="s">
        <v>77</v>
      </c>
      <c r="B518" s="211" t="s">
        <v>32</v>
      </c>
      <c r="C518" s="216" t="s">
        <v>577</v>
      </c>
      <c r="D518" s="222">
        <v>88</v>
      </c>
      <c r="E518" s="222">
        <v>9.6</v>
      </c>
      <c r="F518" s="211">
        <v>12</v>
      </c>
      <c r="I518" s="218" t="str">
        <f>IFERROR(HLOOKUP('Air Source Heat Pump(s)'!D511,'phius_monthly climate data'!$L$3:$CA$83,'phius_monthly climate data'!$CD513,FALSE),"")</f>
        <v/>
      </c>
      <c r="CD518" s="215">
        <v>516</v>
      </c>
    </row>
    <row r="519" spans="1:82" x14ac:dyDescent="0.35">
      <c r="A519" s="211" t="s">
        <v>77</v>
      </c>
      <c r="B519" s="211" t="s">
        <v>32</v>
      </c>
      <c r="C519" s="216" t="s">
        <v>578</v>
      </c>
      <c r="D519" s="222">
        <v>87.4</v>
      </c>
      <c r="E519" s="222">
        <v>8.1999999999999993</v>
      </c>
      <c r="F519" s="211">
        <v>8</v>
      </c>
      <c r="I519" s="218" t="str">
        <f>IFERROR(HLOOKUP('Air Source Heat Pump(s)'!D512,'phius_monthly climate data'!$L$3:$CA$83,'phius_monthly climate data'!$CD514,FALSE),"")</f>
        <v/>
      </c>
      <c r="CD519" s="215">
        <v>517</v>
      </c>
    </row>
    <row r="520" spans="1:82" x14ac:dyDescent="0.35">
      <c r="A520" s="211" t="s">
        <v>77</v>
      </c>
      <c r="B520" s="211" t="s">
        <v>32</v>
      </c>
      <c r="C520" s="216" t="s">
        <v>579</v>
      </c>
      <c r="D520" s="222">
        <v>88.3</v>
      </c>
      <c r="E520" s="222">
        <v>6.4</v>
      </c>
      <c r="F520" s="211">
        <v>10</v>
      </c>
      <c r="I520" s="218" t="str">
        <f>IFERROR(HLOOKUP('Air Source Heat Pump(s)'!D513,'phius_monthly climate data'!$L$3:$CA$83,'phius_monthly climate data'!$CD515,FALSE),"")</f>
        <v/>
      </c>
      <c r="CD520" s="215">
        <v>518</v>
      </c>
    </row>
    <row r="521" spans="1:82" x14ac:dyDescent="0.35">
      <c r="A521" s="211" t="s">
        <v>77</v>
      </c>
      <c r="B521" s="211" t="s">
        <v>32</v>
      </c>
      <c r="C521" s="216" t="s">
        <v>580</v>
      </c>
      <c r="D521" s="222">
        <v>80.2</v>
      </c>
      <c r="E521" s="222">
        <v>-2.4</v>
      </c>
      <c r="F521" s="211">
        <v>-8</v>
      </c>
      <c r="I521" s="218" t="str">
        <f>IFERROR(HLOOKUP('Air Source Heat Pump(s)'!D514,'phius_monthly climate data'!$L$3:$CA$83,'phius_monthly climate data'!$CD516,FALSE),"")</f>
        <v/>
      </c>
      <c r="CD521" s="215">
        <v>519</v>
      </c>
    </row>
    <row r="522" spans="1:82" x14ac:dyDescent="0.35">
      <c r="A522" s="211" t="s">
        <v>77</v>
      </c>
      <c r="B522" s="211" t="s">
        <v>32</v>
      </c>
      <c r="C522" s="216" t="s">
        <v>581</v>
      </c>
      <c r="D522" s="222">
        <v>86.6</v>
      </c>
      <c r="E522" s="222">
        <v>4.5</v>
      </c>
      <c r="F522" s="211">
        <v>8</v>
      </c>
      <c r="I522" s="218" t="str">
        <f>IFERROR(HLOOKUP('Air Source Heat Pump(s)'!D515,'phius_monthly climate data'!$L$3:$CA$83,'phius_monthly climate data'!$CD517,FALSE),"")</f>
        <v/>
      </c>
      <c r="CD522" s="215">
        <v>520</v>
      </c>
    </row>
    <row r="523" spans="1:82" x14ac:dyDescent="0.35">
      <c r="A523" s="211" t="s">
        <v>77</v>
      </c>
      <c r="B523" s="211" t="s">
        <v>32</v>
      </c>
      <c r="C523" s="216" t="s">
        <v>582</v>
      </c>
      <c r="D523" s="222">
        <v>86.5</v>
      </c>
      <c r="E523" s="222">
        <v>7.3</v>
      </c>
      <c r="F523" s="211">
        <v>3</v>
      </c>
      <c r="I523" s="218" t="str">
        <f>IFERROR(HLOOKUP('Air Source Heat Pump(s)'!D516,'phius_monthly climate data'!$L$3:$CA$83,'phius_monthly climate data'!$CD518,FALSE),"")</f>
        <v/>
      </c>
      <c r="CD523" s="215">
        <v>521</v>
      </c>
    </row>
    <row r="524" spans="1:82" x14ac:dyDescent="0.35">
      <c r="A524" s="211" t="s">
        <v>77</v>
      </c>
      <c r="B524" s="211" t="s">
        <v>32</v>
      </c>
      <c r="C524" s="216" t="s">
        <v>583</v>
      </c>
      <c r="D524" s="222">
        <v>80.900000000000006</v>
      </c>
      <c r="E524" s="222">
        <v>-0.5</v>
      </c>
      <c r="F524" s="211">
        <v>3</v>
      </c>
      <c r="I524" s="218" t="str">
        <f>IFERROR(HLOOKUP('Air Source Heat Pump(s)'!D517,'phius_monthly climate data'!$L$3:$CA$83,'phius_monthly climate data'!$CD519,FALSE),"")</f>
        <v/>
      </c>
      <c r="CD524" s="215">
        <v>522</v>
      </c>
    </row>
    <row r="525" spans="1:82" x14ac:dyDescent="0.35">
      <c r="A525" s="211" t="s">
        <v>77</v>
      </c>
      <c r="B525" s="211" t="s">
        <v>32</v>
      </c>
      <c r="C525" s="216" t="s">
        <v>584</v>
      </c>
      <c r="D525" s="222">
        <v>83.8</v>
      </c>
      <c r="E525" s="222">
        <v>0</v>
      </c>
      <c r="F525" s="211">
        <v>4</v>
      </c>
      <c r="I525" s="218" t="str">
        <f>IFERROR(HLOOKUP('Air Source Heat Pump(s)'!D518,'phius_monthly climate data'!$L$3:$CA$83,'phius_monthly climate data'!$CD520,FALSE),"")</f>
        <v/>
      </c>
      <c r="CD525" s="215">
        <v>523</v>
      </c>
    </row>
    <row r="526" spans="1:82" x14ac:dyDescent="0.35">
      <c r="A526" s="211" t="s">
        <v>77</v>
      </c>
      <c r="B526" s="211" t="s">
        <v>32</v>
      </c>
      <c r="C526" s="216" t="s">
        <v>585</v>
      </c>
      <c r="D526" s="222">
        <v>87.8</v>
      </c>
      <c r="E526" s="222">
        <v>5.5</v>
      </c>
      <c r="F526" s="211">
        <v>12</v>
      </c>
      <c r="I526" s="218" t="str">
        <f>IFERROR(HLOOKUP('Air Source Heat Pump(s)'!D519,'phius_monthly climate data'!$L$3:$CA$83,'phius_monthly climate data'!$CD521,FALSE),"")</f>
        <v/>
      </c>
      <c r="CD526" s="215">
        <v>524</v>
      </c>
    </row>
    <row r="527" spans="1:82" x14ac:dyDescent="0.35">
      <c r="A527" s="211" t="s">
        <v>77</v>
      </c>
      <c r="B527" s="211" t="s">
        <v>32</v>
      </c>
      <c r="C527" s="216" t="s">
        <v>586</v>
      </c>
      <c r="D527" s="222">
        <v>84.5</v>
      </c>
      <c r="E527" s="222">
        <v>-6.5</v>
      </c>
      <c r="F527" s="211">
        <v>3</v>
      </c>
      <c r="I527" s="218" t="str">
        <f>IFERROR(HLOOKUP('Air Source Heat Pump(s)'!D520,'phius_monthly climate data'!$L$3:$CA$83,'phius_monthly climate data'!$CD522,FALSE),"")</f>
        <v/>
      </c>
      <c r="CD527" s="215">
        <v>525</v>
      </c>
    </row>
    <row r="528" spans="1:82" x14ac:dyDescent="0.35">
      <c r="A528" s="211" t="s">
        <v>77</v>
      </c>
      <c r="B528" s="211" t="s">
        <v>32</v>
      </c>
      <c r="C528" s="216" t="s">
        <v>587</v>
      </c>
      <c r="D528" s="222">
        <v>82.2</v>
      </c>
      <c r="E528" s="222">
        <v>-8.4</v>
      </c>
      <c r="F528" s="211">
        <v>-4</v>
      </c>
      <c r="I528" s="218" t="str">
        <f>IFERROR(HLOOKUP('Air Source Heat Pump(s)'!D521,'phius_monthly climate data'!$L$3:$CA$83,'phius_monthly climate data'!$CD523,FALSE),"")</f>
        <v/>
      </c>
      <c r="CD528" s="215">
        <v>526</v>
      </c>
    </row>
    <row r="529" spans="1:82" x14ac:dyDescent="0.35">
      <c r="A529" s="211" t="s">
        <v>77</v>
      </c>
      <c r="B529" s="211" t="s">
        <v>32</v>
      </c>
      <c r="C529" s="216" t="s">
        <v>588</v>
      </c>
      <c r="D529" s="222">
        <v>85.9</v>
      </c>
      <c r="E529" s="222">
        <v>5.4</v>
      </c>
      <c r="F529" s="211">
        <v>10</v>
      </c>
      <c r="I529" s="218" t="str">
        <f>IFERROR(HLOOKUP('Air Source Heat Pump(s)'!D522,'phius_monthly climate data'!$L$3:$CA$83,'phius_monthly climate data'!$CD524,FALSE),"")</f>
        <v/>
      </c>
      <c r="CD529" s="215">
        <v>527</v>
      </c>
    </row>
    <row r="530" spans="1:82" x14ac:dyDescent="0.35">
      <c r="A530" s="211" t="s">
        <v>77</v>
      </c>
      <c r="B530" s="211" t="s">
        <v>32</v>
      </c>
      <c r="C530" s="216" t="s">
        <v>589</v>
      </c>
      <c r="D530" s="222">
        <v>87.7</v>
      </c>
      <c r="E530" s="222">
        <v>7.4</v>
      </c>
      <c r="F530" s="211">
        <v>8</v>
      </c>
      <c r="I530" s="218" t="str">
        <f>IFERROR(HLOOKUP('Air Source Heat Pump(s)'!D523,'phius_monthly climate data'!$L$3:$CA$83,'phius_monthly climate data'!$CD525,FALSE),"")</f>
        <v/>
      </c>
      <c r="CD530" s="215">
        <v>528</v>
      </c>
    </row>
    <row r="531" spans="1:82" x14ac:dyDescent="0.35">
      <c r="A531" s="211" t="s">
        <v>77</v>
      </c>
      <c r="B531" s="211" t="s">
        <v>32</v>
      </c>
      <c r="C531" s="216" t="s">
        <v>590</v>
      </c>
      <c r="D531" s="222">
        <v>86.2</v>
      </c>
      <c r="E531" s="222">
        <v>4.7</v>
      </c>
      <c r="F531" s="211">
        <v>3</v>
      </c>
      <c r="I531" s="218" t="str">
        <f>IFERROR(HLOOKUP('Air Source Heat Pump(s)'!D524,'phius_monthly climate data'!$L$3:$CA$83,'phius_monthly climate data'!$CD526,FALSE),"")</f>
        <v/>
      </c>
      <c r="CD531" s="215">
        <v>529</v>
      </c>
    </row>
    <row r="532" spans="1:82" x14ac:dyDescent="0.35">
      <c r="A532" s="211" t="s">
        <v>77</v>
      </c>
      <c r="B532" s="211" t="s">
        <v>32</v>
      </c>
      <c r="C532" s="216" t="s">
        <v>591</v>
      </c>
      <c r="D532" s="222">
        <v>82</v>
      </c>
      <c r="E532" s="222">
        <v>7.1</v>
      </c>
      <c r="F532" s="211">
        <v>9</v>
      </c>
      <c r="I532" s="218" t="str">
        <f>IFERROR(HLOOKUP('Air Source Heat Pump(s)'!D525,'phius_monthly climate data'!$L$3:$CA$83,'phius_monthly climate data'!$CD527,FALSE),"")</f>
        <v/>
      </c>
      <c r="CD532" s="215">
        <v>530</v>
      </c>
    </row>
    <row r="533" spans="1:82" x14ac:dyDescent="0.35">
      <c r="A533" s="211" t="s">
        <v>77</v>
      </c>
      <c r="B533" s="211" t="s">
        <v>32</v>
      </c>
      <c r="C533" s="216" t="s">
        <v>592</v>
      </c>
      <c r="D533" s="222">
        <v>82.3</v>
      </c>
      <c r="E533" s="222">
        <v>-2</v>
      </c>
      <c r="F533" s="211">
        <v>-1</v>
      </c>
      <c r="I533" s="218" t="str">
        <f>IFERROR(HLOOKUP('Air Source Heat Pump(s)'!D526,'phius_monthly climate data'!$L$3:$CA$83,'phius_monthly climate data'!$CD528,FALSE),"")</f>
        <v/>
      </c>
      <c r="CD533" s="215">
        <v>531</v>
      </c>
    </row>
    <row r="534" spans="1:82" x14ac:dyDescent="0.35">
      <c r="A534" s="211" t="s">
        <v>77</v>
      </c>
      <c r="B534" s="211" t="s">
        <v>32</v>
      </c>
      <c r="C534" s="216" t="s">
        <v>593</v>
      </c>
      <c r="D534" s="222">
        <v>86.5</v>
      </c>
      <c r="E534" s="222">
        <v>6.8</v>
      </c>
      <c r="F534" s="211">
        <v>22</v>
      </c>
      <c r="I534" s="218" t="str">
        <f>IFERROR(HLOOKUP('Air Source Heat Pump(s)'!D527,'phius_monthly climate data'!$L$3:$CA$83,'phius_monthly climate data'!$CD529,FALSE),"")</f>
        <v/>
      </c>
      <c r="CD534" s="215">
        <v>532</v>
      </c>
    </row>
    <row r="535" spans="1:82" x14ac:dyDescent="0.35">
      <c r="A535" s="211" t="s">
        <v>77</v>
      </c>
      <c r="B535" s="211" t="s">
        <v>32</v>
      </c>
      <c r="C535" s="216" t="s">
        <v>594</v>
      </c>
      <c r="D535" s="222">
        <v>83.7</v>
      </c>
      <c r="E535" s="222">
        <v>9.4</v>
      </c>
      <c r="F535" s="211">
        <v>14</v>
      </c>
      <c r="I535" s="218" t="str">
        <f>IFERROR(HLOOKUP('Air Source Heat Pump(s)'!D528,'phius_monthly climate data'!$L$3:$CA$83,'phius_monthly climate data'!$CD530,FALSE),"")</f>
        <v/>
      </c>
      <c r="CD535" s="215">
        <v>533</v>
      </c>
    </row>
    <row r="536" spans="1:82" x14ac:dyDescent="0.35">
      <c r="A536" s="211" t="s">
        <v>77</v>
      </c>
      <c r="B536" s="211" t="s">
        <v>32</v>
      </c>
      <c r="C536" s="216" t="s">
        <v>595</v>
      </c>
      <c r="D536" s="222">
        <v>86.4</v>
      </c>
      <c r="E536" s="222">
        <v>5.4</v>
      </c>
      <c r="F536" s="211">
        <v>13</v>
      </c>
      <c r="I536" s="218" t="str">
        <f>IFERROR(HLOOKUP('Air Source Heat Pump(s)'!D529,'phius_monthly climate data'!$L$3:$CA$83,'phius_monthly climate data'!$CD531,FALSE),"")</f>
        <v/>
      </c>
      <c r="CD536" s="215">
        <v>534</v>
      </c>
    </row>
    <row r="537" spans="1:82" x14ac:dyDescent="0.35">
      <c r="A537" s="211" t="s">
        <v>77</v>
      </c>
      <c r="B537" s="211" t="s">
        <v>32</v>
      </c>
      <c r="C537" s="216" t="s">
        <v>596</v>
      </c>
      <c r="D537" s="222">
        <v>85.8</v>
      </c>
      <c r="E537" s="222">
        <v>2.5</v>
      </c>
      <c r="F537" s="211">
        <v>9</v>
      </c>
      <c r="I537" s="218" t="str">
        <f>IFERROR(HLOOKUP('Air Source Heat Pump(s)'!D530,'phius_monthly climate data'!$L$3:$CA$83,'phius_monthly climate data'!$CD532,FALSE),"")</f>
        <v/>
      </c>
      <c r="CD537" s="215">
        <v>535</v>
      </c>
    </row>
    <row r="538" spans="1:82" x14ac:dyDescent="0.35">
      <c r="A538" s="211" t="s">
        <v>77</v>
      </c>
      <c r="B538" s="211" t="s">
        <v>32</v>
      </c>
      <c r="C538" s="216" t="s">
        <v>597</v>
      </c>
      <c r="D538" s="222">
        <v>83.7</v>
      </c>
      <c r="E538" s="222">
        <v>-3.8</v>
      </c>
      <c r="F538" s="211">
        <v>15</v>
      </c>
      <c r="I538" s="218" t="str">
        <f>IFERROR(HLOOKUP('Air Source Heat Pump(s)'!D531,'phius_monthly climate data'!$L$3:$CA$83,'phius_monthly climate data'!$CD533,FALSE),"")</f>
        <v/>
      </c>
      <c r="CD538" s="215">
        <v>536</v>
      </c>
    </row>
    <row r="539" spans="1:82" x14ac:dyDescent="0.35">
      <c r="A539" s="211" t="s">
        <v>77</v>
      </c>
      <c r="B539" s="211" t="s">
        <v>32</v>
      </c>
      <c r="C539" s="216" t="s">
        <v>598</v>
      </c>
      <c r="D539" s="222">
        <v>86.3</v>
      </c>
      <c r="E539" s="222">
        <v>4.7</v>
      </c>
      <c r="F539" s="211">
        <v>5</v>
      </c>
      <c r="I539" s="218" t="str">
        <f>IFERROR(HLOOKUP('Air Source Heat Pump(s)'!D532,'phius_monthly climate data'!$L$3:$CA$83,'phius_monthly climate data'!$CD534,FALSE),"")</f>
        <v/>
      </c>
      <c r="CD539" s="215">
        <v>537</v>
      </c>
    </row>
    <row r="540" spans="1:82" x14ac:dyDescent="0.35">
      <c r="A540" s="211" t="s">
        <v>77</v>
      </c>
      <c r="B540" s="211" t="s">
        <v>32</v>
      </c>
      <c r="C540" s="216" t="s">
        <v>599</v>
      </c>
      <c r="D540" s="222">
        <v>80.3</v>
      </c>
      <c r="E540" s="222">
        <v>-4.5</v>
      </c>
      <c r="F540" s="211">
        <v>-1</v>
      </c>
      <c r="I540" s="218" t="str">
        <f>IFERROR(HLOOKUP('Air Source Heat Pump(s)'!D533,'phius_monthly climate data'!$L$3:$CA$83,'phius_monthly climate data'!$CD535,FALSE),"")</f>
        <v/>
      </c>
      <c r="CD540" s="215">
        <v>538</v>
      </c>
    </row>
    <row r="541" spans="1:82" x14ac:dyDescent="0.35">
      <c r="A541" s="211" t="s">
        <v>77</v>
      </c>
      <c r="B541" s="211" t="s">
        <v>32</v>
      </c>
      <c r="C541" s="216" t="s">
        <v>600</v>
      </c>
      <c r="D541" s="222">
        <v>85.9</v>
      </c>
      <c r="E541" s="222">
        <v>5</v>
      </c>
      <c r="F541" s="211">
        <v>10</v>
      </c>
      <c r="I541" s="218" t="str">
        <f>IFERROR(HLOOKUP('Air Source Heat Pump(s)'!D534,'phius_monthly climate data'!$L$3:$CA$83,'phius_monthly climate data'!$CD536,FALSE),"")</f>
        <v/>
      </c>
      <c r="CD541" s="215">
        <v>539</v>
      </c>
    </row>
    <row r="542" spans="1:82" x14ac:dyDescent="0.35">
      <c r="A542" s="211" t="s">
        <v>77</v>
      </c>
      <c r="B542" s="211" t="s">
        <v>32</v>
      </c>
      <c r="C542" s="216" t="s">
        <v>601</v>
      </c>
      <c r="D542" s="222">
        <v>85.6</v>
      </c>
      <c r="E542" s="222">
        <v>5.5</v>
      </c>
      <c r="F542" s="211">
        <v>6</v>
      </c>
      <c r="I542" s="218" t="str">
        <f>IFERROR(HLOOKUP('Air Source Heat Pump(s)'!D535,'phius_monthly climate data'!$L$3:$CA$83,'phius_monthly climate data'!$CD537,FALSE),"")</f>
        <v/>
      </c>
      <c r="CD542" s="215">
        <v>540</v>
      </c>
    </row>
    <row r="543" spans="1:82" x14ac:dyDescent="0.35">
      <c r="A543" s="211" t="s">
        <v>77</v>
      </c>
      <c r="B543" s="211" t="s">
        <v>33</v>
      </c>
      <c r="C543" s="216" t="s">
        <v>602</v>
      </c>
      <c r="D543" s="222">
        <v>82.4</v>
      </c>
      <c r="E543" s="222">
        <v>-14.8</v>
      </c>
      <c r="F543" s="211">
        <v>-23</v>
      </c>
      <c r="I543" s="218" t="str">
        <f>IFERROR(HLOOKUP('Air Source Heat Pump(s)'!D536,'phius_monthly climate data'!$L$3:$CA$83,'phius_monthly climate data'!$CD538,FALSE),"")</f>
        <v/>
      </c>
      <c r="CD543" s="215">
        <v>541</v>
      </c>
    </row>
    <row r="544" spans="1:82" x14ac:dyDescent="0.35">
      <c r="A544" s="211" t="s">
        <v>77</v>
      </c>
      <c r="B544" s="211" t="s">
        <v>33</v>
      </c>
      <c r="C544" s="216" t="s">
        <v>603</v>
      </c>
      <c r="D544" s="222">
        <v>86.1</v>
      </c>
      <c r="E544" s="222">
        <v>-7.7</v>
      </c>
      <c r="F544" s="211">
        <v>2</v>
      </c>
      <c r="I544" s="218" t="str">
        <f>IFERROR(HLOOKUP('Air Source Heat Pump(s)'!D537,'phius_monthly climate data'!$L$3:$CA$83,'phius_monthly climate data'!$CD539,FALSE),"")</f>
        <v/>
      </c>
      <c r="CD544" s="215">
        <v>542</v>
      </c>
    </row>
    <row r="545" spans="1:82" x14ac:dyDescent="0.35">
      <c r="A545" s="211" t="s">
        <v>77</v>
      </c>
      <c r="B545" s="211" t="s">
        <v>33</v>
      </c>
      <c r="C545" s="216" t="s">
        <v>604</v>
      </c>
      <c r="D545" s="222">
        <v>84.7</v>
      </c>
      <c r="E545" s="222">
        <v>-12.8</v>
      </c>
      <c r="F545" s="211">
        <v>-25</v>
      </c>
      <c r="I545" s="218" t="str">
        <f>IFERROR(HLOOKUP('Air Source Heat Pump(s)'!D538,'phius_monthly climate data'!$L$3:$CA$83,'phius_monthly climate data'!$CD540,FALSE),"")</f>
        <v/>
      </c>
      <c r="CD545" s="215">
        <v>543</v>
      </c>
    </row>
    <row r="546" spans="1:82" x14ac:dyDescent="0.35">
      <c r="A546" s="211" t="s">
        <v>77</v>
      </c>
      <c r="B546" s="211" t="s">
        <v>33</v>
      </c>
      <c r="C546" s="216" t="s">
        <v>605</v>
      </c>
      <c r="D546" s="222">
        <v>86.1</v>
      </c>
      <c r="E546" s="222">
        <v>-7.8</v>
      </c>
      <c r="F546" s="211">
        <v>1</v>
      </c>
      <c r="I546" s="218" t="str">
        <f>IFERROR(HLOOKUP('Air Source Heat Pump(s)'!D539,'phius_monthly climate data'!$L$3:$CA$83,'phius_monthly climate data'!$CD541,FALSE),"")</f>
        <v/>
      </c>
      <c r="CD546" s="215">
        <v>544</v>
      </c>
    </row>
    <row r="547" spans="1:82" x14ac:dyDescent="0.35">
      <c r="A547" s="211" t="s">
        <v>77</v>
      </c>
      <c r="B547" s="211" t="s">
        <v>33</v>
      </c>
      <c r="C547" s="216" t="s">
        <v>606</v>
      </c>
      <c r="D547" s="222">
        <v>82.3</v>
      </c>
      <c r="E547" s="222">
        <v>-19.5</v>
      </c>
      <c r="F547" s="211">
        <v>-1</v>
      </c>
      <c r="I547" s="218" t="str">
        <f>IFERROR(HLOOKUP('Air Source Heat Pump(s)'!D540,'phius_monthly climate data'!$L$3:$CA$83,'phius_monthly climate data'!$CD542,FALSE),"")</f>
        <v/>
      </c>
      <c r="CD547" s="215">
        <v>545</v>
      </c>
    </row>
    <row r="548" spans="1:82" x14ac:dyDescent="0.35">
      <c r="A548" s="211" t="s">
        <v>77</v>
      </c>
      <c r="B548" s="211" t="s">
        <v>33</v>
      </c>
      <c r="C548" s="216" t="s">
        <v>607</v>
      </c>
      <c r="D548" s="222">
        <v>82.4</v>
      </c>
      <c r="E548" s="222">
        <v>-17.2</v>
      </c>
      <c r="F548" s="211">
        <v>-9</v>
      </c>
      <c r="I548" s="218" t="str">
        <f>IFERROR(HLOOKUP('Air Source Heat Pump(s)'!D541,'phius_monthly climate data'!$L$3:$CA$83,'phius_monthly climate data'!$CD543,FALSE),"")</f>
        <v/>
      </c>
      <c r="CD548" s="215">
        <v>546</v>
      </c>
    </row>
    <row r="549" spans="1:82" x14ac:dyDescent="0.35">
      <c r="A549" s="211" t="s">
        <v>77</v>
      </c>
      <c r="B549" s="211" t="s">
        <v>33</v>
      </c>
      <c r="C549" s="216" t="s">
        <v>608</v>
      </c>
      <c r="D549" s="222">
        <v>87.9</v>
      </c>
      <c r="E549" s="222">
        <v>-11.4</v>
      </c>
      <c r="F549" s="211">
        <v>-4</v>
      </c>
      <c r="I549" s="218" t="str">
        <f>IFERROR(HLOOKUP('Air Source Heat Pump(s)'!D542,'phius_monthly climate data'!$L$3:$CA$83,'phius_monthly climate data'!$CD544,FALSE),"")</f>
        <v/>
      </c>
      <c r="CD549" s="215">
        <v>547</v>
      </c>
    </row>
    <row r="550" spans="1:82" x14ac:dyDescent="0.35">
      <c r="A550" s="211" t="s">
        <v>77</v>
      </c>
      <c r="B550" s="211" t="s">
        <v>33</v>
      </c>
      <c r="C550" s="216" t="s">
        <v>609</v>
      </c>
      <c r="D550" s="222">
        <v>84.8</v>
      </c>
      <c r="E550" s="222">
        <v>-12.9</v>
      </c>
      <c r="F550" s="211">
        <v>-25</v>
      </c>
      <c r="I550" s="218" t="str">
        <f>IFERROR(HLOOKUP('Air Source Heat Pump(s)'!D543,'phius_monthly climate data'!$L$3:$CA$83,'phius_monthly climate data'!$CD545,FALSE),"")</f>
        <v/>
      </c>
      <c r="CD550" s="215">
        <v>548</v>
      </c>
    </row>
    <row r="551" spans="1:82" x14ac:dyDescent="0.35">
      <c r="A551" s="211" t="s">
        <v>77</v>
      </c>
      <c r="B551" s="211" t="s">
        <v>33</v>
      </c>
      <c r="C551" s="216" t="s">
        <v>610</v>
      </c>
      <c r="D551" s="222">
        <v>87.7</v>
      </c>
      <c r="E551" s="222">
        <v>-11</v>
      </c>
      <c r="F551" s="211">
        <v>-10</v>
      </c>
      <c r="I551" s="218" t="str">
        <f>IFERROR(HLOOKUP('Air Source Heat Pump(s)'!D544,'phius_monthly climate data'!$L$3:$CA$83,'phius_monthly climate data'!$CD546,FALSE),"")</f>
        <v/>
      </c>
      <c r="CD551" s="215">
        <v>549</v>
      </c>
    </row>
    <row r="552" spans="1:82" x14ac:dyDescent="0.35">
      <c r="A552" s="211" t="s">
        <v>77</v>
      </c>
      <c r="B552" s="211" t="s">
        <v>33</v>
      </c>
      <c r="C552" s="216" t="s">
        <v>611</v>
      </c>
      <c r="D552" s="222">
        <v>81.599999999999994</v>
      </c>
      <c r="E552" s="222">
        <v>-12.7</v>
      </c>
      <c r="F552" s="211">
        <v>-8</v>
      </c>
      <c r="I552" s="218" t="str">
        <f>IFERROR(HLOOKUP('Air Source Heat Pump(s)'!D545,'phius_monthly climate data'!$L$3:$CA$83,'phius_monthly climate data'!$CD547,FALSE),"")</f>
        <v/>
      </c>
      <c r="CD552" s="215">
        <v>550</v>
      </c>
    </row>
    <row r="553" spans="1:82" x14ac:dyDescent="0.35">
      <c r="A553" s="211" t="s">
        <v>77</v>
      </c>
      <c r="B553" s="211" t="s">
        <v>33</v>
      </c>
      <c r="C553" s="216" t="s">
        <v>612</v>
      </c>
      <c r="D553" s="222">
        <v>82.3</v>
      </c>
      <c r="E553" s="222">
        <v>-20.5</v>
      </c>
      <c r="F553" s="211">
        <v>-14</v>
      </c>
      <c r="I553" s="218" t="str">
        <f>IFERROR(HLOOKUP('Air Source Heat Pump(s)'!D546,'phius_monthly climate data'!$L$3:$CA$83,'phius_monthly climate data'!$CD548,FALSE),"")</f>
        <v/>
      </c>
      <c r="CD553" s="215">
        <v>551</v>
      </c>
    </row>
    <row r="554" spans="1:82" x14ac:dyDescent="0.35">
      <c r="A554" s="211" t="s">
        <v>77</v>
      </c>
      <c r="B554" s="211" t="s">
        <v>33</v>
      </c>
      <c r="C554" s="216" t="s">
        <v>613</v>
      </c>
      <c r="D554" s="222">
        <v>83.9</v>
      </c>
      <c r="E554" s="222">
        <v>-18.100000000000001</v>
      </c>
      <c r="F554" s="211">
        <v>-4</v>
      </c>
      <c r="I554" s="218" t="str">
        <f>IFERROR(HLOOKUP('Air Source Heat Pump(s)'!D547,'phius_monthly climate data'!$L$3:$CA$83,'phius_monthly climate data'!$CD549,FALSE),"")</f>
        <v/>
      </c>
      <c r="CD554" s="215">
        <v>552</v>
      </c>
    </row>
    <row r="555" spans="1:82" x14ac:dyDescent="0.35">
      <c r="A555" s="211" t="s">
        <v>77</v>
      </c>
      <c r="B555" s="211" t="s">
        <v>33</v>
      </c>
      <c r="C555" s="216" t="s">
        <v>614</v>
      </c>
      <c r="D555" s="222">
        <v>82.5</v>
      </c>
      <c r="E555" s="222">
        <v>-15.1</v>
      </c>
      <c r="F555" s="211">
        <v>-2</v>
      </c>
      <c r="I555" s="218" t="str">
        <f>IFERROR(HLOOKUP('Air Source Heat Pump(s)'!D548,'phius_monthly climate data'!$L$3:$CA$83,'phius_monthly climate data'!$CD550,FALSE),"")</f>
        <v/>
      </c>
      <c r="CD555" s="215">
        <v>553</v>
      </c>
    </row>
    <row r="556" spans="1:82" x14ac:dyDescent="0.35">
      <c r="A556" s="211" t="s">
        <v>77</v>
      </c>
      <c r="B556" s="211" t="s">
        <v>33</v>
      </c>
      <c r="C556" s="216" t="s">
        <v>615</v>
      </c>
      <c r="D556" s="222">
        <v>81.099999999999994</v>
      </c>
      <c r="E556" s="222">
        <v>-12</v>
      </c>
      <c r="F556" s="211">
        <v>-5</v>
      </c>
      <c r="I556" s="218" t="str">
        <f>IFERROR(HLOOKUP('Air Source Heat Pump(s)'!D549,'phius_monthly climate data'!$L$3:$CA$83,'phius_monthly climate data'!$CD551,FALSE),"")</f>
        <v/>
      </c>
      <c r="CD556" s="215">
        <v>554</v>
      </c>
    </row>
    <row r="557" spans="1:82" x14ac:dyDescent="0.35">
      <c r="A557" s="211" t="s">
        <v>77</v>
      </c>
      <c r="B557" s="211" t="s">
        <v>33</v>
      </c>
      <c r="C557" s="216" t="s">
        <v>616</v>
      </c>
      <c r="D557" s="222">
        <v>81.599999999999994</v>
      </c>
      <c r="E557" s="222">
        <v>-20</v>
      </c>
      <c r="F557" s="211">
        <v>-18</v>
      </c>
      <c r="I557" s="218" t="str">
        <f>IFERROR(HLOOKUP('Air Source Heat Pump(s)'!D550,'phius_monthly climate data'!$L$3:$CA$83,'phius_monthly climate data'!$CD552,FALSE),"")</f>
        <v/>
      </c>
      <c r="CD557" s="215">
        <v>555</v>
      </c>
    </row>
    <row r="558" spans="1:82" x14ac:dyDescent="0.35">
      <c r="A558" s="211" t="s">
        <v>77</v>
      </c>
      <c r="B558" s="211" t="s">
        <v>33</v>
      </c>
      <c r="C558" s="216" t="s">
        <v>617</v>
      </c>
      <c r="D558" s="222">
        <v>82</v>
      </c>
      <c r="E558" s="222">
        <v>-17.100000000000001</v>
      </c>
      <c r="F558" s="211">
        <v>-8</v>
      </c>
      <c r="I558" s="218" t="str">
        <f>IFERROR(HLOOKUP('Air Source Heat Pump(s)'!D551,'phius_monthly climate data'!$L$3:$CA$83,'phius_monthly climate data'!$CD553,FALSE),"")</f>
        <v/>
      </c>
      <c r="CD558" s="215">
        <v>556</v>
      </c>
    </row>
    <row r="559" spans="1:82" x14ac:dyDescent="0.35">
      <c r="A559" s="211" t="s">
        <v>77</v>
      </c>
      <c r="B559" s="211" t="s">
        <v>33</v>
      </c>
      <c r="C559" s="216" t="s">
        <v>618</v>
      </c>
      <c r="D559" s="222">
        <v>87.4</v>
      </c>
      <c r="E559" s="222">
        <v>-6.6</v>
      </c>
      <c r="F559" s="211">
        <v>4</v>
      </c>
      <c r="CD559" s="215">
        <v>557</v>
      </c>
    </row>
    <row r="560" spans="1:82" x14ac:dyDescent="0.35">
      <c r="A560" s="211" t="s">
        <v>77</v>
      </c>
      <c r="B560" s="211" t="s">
        <v>33</v>
      </c>
      <c r="C560" s="216" t="s">
        <v>619</v>
      </c>
      <c r="D560" s="222">
        <v>87.6</v>
      </c>
      <c r="E560" s="222">
        <v>-8.4</v>
      </c>
      <c r="F560" s="211">
        <v>-8</v>
      </c>
      <c r="I560" s="218" t="str">
        <f>IFERROR(HLOOKUP('Air Source Heat Pump(s)'!D552,'phius_monthly climate data'!$L$3:$CA$83,'phius_monthly climate data'!$CD555,FALSE),"")</f>
        <v/>
      </c>
      <c r="CD560" s="215">
        <v>558</v>
      </c>
    </row>
    <row r="561" spans="1:82" x14ac:dyDescent="0.35">
      <c r="A561" s="211" t="s">
        <v>77</v>
      </c>
      <c r="B561" s="211" t="s">
        <v>33</v>
      </c>
      <c r="C561" s="216" t="s">
        <v>1220</v>
      </c>
      <c r="D561" s="222">
        <v>84.5</v>
      </c>
      <c r="E561" s="222">
        <v>-15.1</v>
      </c>
      <c r="F561" s="211">
        <v>-2.74</v>
      </c>
      <c r="I561" s="218" t="str">
        <f>IFERROR(HLOOKUP('Air Source Heat Pump(s)'!D553,'phius_monthly climate data'!$L$3:$CA$83,'phius_monthly climate data'!$CD556,FALSE),"")</f>
        <v/>
      </c>
      <c r="CD561" s="215">
        <v>559</v>
      </c>
    </row>
    <row r="562" spans="1:82" x14ac:dyDescent="0.35">
      <c r="A562" s="211" t="s">
        <v>77</v>
      </c>
      <c r="B562" s="211" t="s">
        <v>33</v>
      </c>
      <c r="C562" s="216" t="s">
        <v>620</v>
      </c>
      <c r="D562" s="222">
        <v>88.2</v>
      </c>
      <c r="E562" s="222">
        <v>-6.3</v>
      </c>
      <c r="F562" s="211">
        <v>3</v>
      </c>
      <c r="I562" s="218" t="str">
        <f>IFERROR(HLOOKUP('Air Source Heat Pump(s)'!D554,'phius_monthly climate data'!$L$3:$CA$83,'phius_monthly climate data'!$CD557,FALSE),"")</f>
        <v/>
      </c>
      <c r="CD562" s="215">
        <v>560</v>
      </c>
    </row>
    <row r="563" spans="1:82" x14ac:dyDescent="0.35">
      <c r="A563" s="211" t="s">
        <v>77</v>
      </c>
      <c r="B563" s="211" t="s">
        <v>33</v>
      </c>
      <c r="C563" s="216" t="s">
        <v>621</v>
      </c>
      <c r="D563" s="222">
        <v>83.7</v>
      </c>
      <c r="E563" s="222">
        <v>-18.2</v>
      </c>
      <c r="F563" s="211">
        <v>-16</v>
      </c>
      <c r="I563" s="218" t="str">
        <f>IFERROR(HLOOKUP('Air Source Heat Pump(s)'!D555,'phius_monthly climate data'!$L$3:$CA$83,'phius_monthly climate data'!$CD558,FALSE),"")</f>
        <v/>
      </c>
      <c r="CD563" s="215">
        <v>561</v>
      </c>
    </row>
    <row r="564" spans="1:82" x14ac:dyDescent="0.35">
      <c r="A564" s="211" t="s">
        <v>77</v>
      </c>
      <c r="B564" s="211" t="s">
        <v>33</v>
      </c>
      <c r="C564" s="216" t="s">
        <v>622</v>
      </c>
      <c r="D564" s="222">
        <v>86.3</v>
      </c>
      <c r="E564" s="222">
        <v>-11.3</v>
      </c>
      <c r="F564" s="211">
        <v>-11</v>
      </c>
      <c r="I564" s="218" t="str">
        <f>IFERROR(HLOOKUP('Air Source Heat Pump(s)'!D556,'phius_monthly climate data'!$L$3:$CA$83,'phius_monthly climate data'!$CD559,FALSE),"")</f>
        <v/>
      </c>
      <c r="CD564" s="215">
        <v>562</v>
      </c>
    </row>
    <row r="565" spans="1:82" x14ac:dyDescent="0.35">
      <c r="A565" s="211" t="s">
        <v>77</v>
      </c>
      <c r="B565" s="211" t="s">
        <v>33</v>
      </c>
      <c r="C565" s="216" t="s">
        <v>623</v>
      </c>
      <c r="D565" s="222">
        <v>81.599999999999994</v>
      </c>
      <c r="E565" s="222">
        <v>-15</v>
      </c>
      <c r="F565" s="211">
        <v>-9</v>
      </c>
      <c r="I565" s="218" t="str">
        <f>IFERROR(HLOOKUP('Air Source Heat Pump(s)'!D557,'phius_monthly climate data'!$L$3:$CA$83,'phius_monthly climate data'!$CD560,FALSE),"")</f>
        <v/>
      </c>
      <c r="CD565" s="215">
        <v>563</v>
      </c>
    </row>
    <row r="566" spans="1:82" x14ac:dyDescent="0.35">
      <c r="A566" s="211" t="s">
        <v>77</v>
      </c>
      <c r="B566" s="211" t="s">
        <v>33</v>
      </c>
      <c r="C566" s="216" t="s">
        <v>624</v>
      </c>
      <c r="D566" s="222">
        <v>84.4</v>
      </c>
      <c r="E566" s="222">
        <v>-19.7</v>
      </c>
      <c r="F566" s="211">
        <v>-10</v>
      </c>
      <c r="I566" s="218" t="str">
        <f>IFERROR(HLOOKUP('Air Source Heat Pump(s)'!D558,'phius_monthly climate data'!$L$3:$CA$83,'phius_monthly climate data'!$CD561,FALSE),"")</f>
        <v/>
      </c>
      <c r="CD566" s="215">
        <v>564</v>
      </c>
    </row>
    <row r="567" spans="1:82" x14ac:dyDescent="0.35">
      <c r="A567" s="211" t="s">
        <v>77</v>
      </c>
      <c r="B567" s="211" t="s">
        <v>33</v>
      </c>
      <c r="C567" s="216" t="s">
        <v>625</v>
      </c>
      <c r="D567" s="222">
        <v>82.3</v>
      </c>
      <c r="E567" s="222">
        <v>-17.600000000000001</v>
      </c>
      <c r="F567" s="211">
        <v>-22</v>
      </c>
      <c r="I567" s="218" t="str">
        <f>IFERROR(HLOOKUP('Air Source Heat Pump(s)'!D559,'phius_monthly climate data'!$L$3:$CA$83,'phius_monthly climate data'!$CD562,FALSE),"")</f>
        <v/>
      </c>
      <c r="CD567" s="215">
        <v>565</v>
      </c>
    </row>
    <row r="568" spans="1:82" x14ac:dyDescent="0.35">
      <c r="A568" s="211" t="s">
        <v>77</v>
      </c>
      <c r="B568" s="211" t="s">
        <v>33</v>
      </c>
      <c r="C568" s="216" t="s">
        <v>626</v>
      </c>
      <c r="D568" s="222">
        <v>86.6</v>
      </c>
      <c r="E568" s="222">
        <v>-9.6</v>
      </c>
      <c r="F568" s="211">
        <v>3</v>
      </c>
      <c r="I568" s="218" t="str">
        <f>IFERROR(HLOOKUP('Air Source Heat Pump(s)'!D560,'phius_monthly climate data'!$L$3:$CA$83,'phius_monthly climate data'!$CD563,FALSE),"")</f>
        <v/>
      </c>
      <c r="CD568" s="215">
        <v>566</v>
      </c>
    </row>
    <row r="569" spans="1:82" x14ac:dyDescent="0.35">
      <c r="A569" s="211" t="s">
        <v>77</v>
      </c>
      <c r="B569" s="211" t="s">
        <v>33</v>
      </c>
      <c r="C569" s="216" t="s">
        <v>627</v>
      </c>
      <c r="D569" s="222">
        <v>82.3</v>
      </c>
      <c r="E569" s="222">
        <v>-20.5</v>
      </c>
      <c r="F569" s="211">
        <v>-17</v>
      </c>
      <c r="I569" s="218" t="str">
        <f>IFERROR(HLOOKUP('Air Source Heat Pump(s)'!D561,'phius_monthly climate data'!$L$3:$CA$83,'phius_monthly climate data'!$CD564,FALSE),"")</f>
        <v/>
      </c>
      <c r="CD569" s="215">
        <v>567</v>
      </c>
    </row>
    <row r="570" spans="1:82" x14ac:dyDescent="0.35">
      <c r="A570" s="211" t="s">
        <v>77</v>
      </c>
      <c r="B570" s="211" t="s">
        <v>33</v>
      </c>
      <c r="C570" s="216" t="s">
        <v>628</v>
      </c>
      <c r="D570" s="222">
        <v>85.8</v>
      </c>
      <c r="E570" s="222">
        <v>-9.1</v>
      </c>
      <c r="F570" s="211">
        <v>-10</v>
      </c>
      <c r="I570" s="218" t="str">
        <f>IFERROR(HLOOKUP('Air Source Heat Pump(s)'!D562,'phius_monthly climate data'!$L$3:$CA$83,'phius_monthly climate data'!$CD565,FALSE),"")</f>
        <v/>
      </c>
      <c r="CD570" s="215">
        <v>568</v>
      </c>
    </row>
    <row r="571" spans="1:82" x14ac:dyDescent="0.35">
      <c r="A571" s="211" t="s">
        <v>77</v>
      </c>
      <c r="B571" s="211" t="s">
        <v>33</v>
      </c>
      <c r="C571" s="216" t="s">
        <v>629</v>
      </c>
      <c r="D571" s="222">
        <v>85.9</v>
      </c>
      <c r="E571" s="222">
        <v>-12.8</v>
      </c>
      <c r="F571" s="211">
        <v>-13</v>
      </c>
      <c r="CD571" s="215">
        <v>569</v>
      </c>
    </row>
    <row r="572" spans="1:82" x14ac:dyDescent="0.35">
      <c r="A572" s="211" t="s">
        <v>77</v>
      </c>
      <c r="B572" s="211" t="s">
        <v>33</v>
      </c>
      <c r="C572" s="216" t="s">
        <v>630</v>
      </c>
      <c r="D572" s="222">
        <v>86.3</v>
      </c>
      <c r="E572" s="222">
        <v>-8.1999999999999993</v>
      </c>
      <c r="F572" s="211">
        <v>-4</v>
      </c>
      <c r="I572" s="218" t="str">
        <f>IFERROR(HLOOKUP('Air Source Heat Pump(s)'!D563,'phius_monthly climate data'!$L$3:$CA$83,'phius_monthly climate data'!$CD567,FALSE),"")</f>
        <v/>
      </c>
      <c r="CD572" s="215">
        <v>570</v>
      </c>
    </row>
    <row r="573" spans="1:82" x14ac:dyDescent="0.35">
      <c r="A573" s="211" t="s">
        <v>77</v>
      </c>
      <c r="B573" s="211" t="s">
        <v>33</v>
      </c>
      <c r="C573" s="216" t="s">
        <v>1221</v>
      </c>
      <c r="D573" s="222">
        <v>87.9</v>
      </c>
      <c r="E573" s="222">
        <v>-8.3000000000000007</v>
      </c>
      <c r="F573" s="211">
        <v>-4.3600000000000003</v>
      </c>
      <c r="I573" s="218" t="str">
        <f>IFERROR(HLOOKUP('Air Source Heat Pump(s)'!D564,'phius_monthly climate data'!$L$3:$CA$83,'phius_monthly climate data'!$CD568,FALSE),"")</f>
        <v/>
      </c>
      <c r="CD573" s="215">
        <v>571</v>
      </c>
    </row>
    <row r="574" spans="1:82" x14ac:dyDescent="0.35">
      <c r="A574" s="211" t="s">
        <v>77</v>
      </c>
      <c r="B574" s="211" t="s">
        <v>33</v>
      </c>
      <c r="C574" s="216" t="s">
        <v>631</v>
      </c>
      <c r="D574" s="222">
        <v>87.8</v>
      </c>
      <c r="E574" s="222">
        <v>-5.8</v>
      </c>
      <c r="F574" s="211">
        <v>-10</v>
      </c>
      <c r="I574" s="218" t="str">
        <f>IFERROR(HLOOKUP('Air Source Heat Pump(s)'!D565,'phius_monthly climate data'!$L$3:$CA$83,'phius_monthly climate data'!$CD569,FALSE),"")</f>
        <v/>
      </c>
      <c r="CD574" s="215">
        <v>572</v>
      </c>
    </row>
    <row r="575" spans="1:82" x14ac:dyDescent="0.35">
      <c r="A575" s="211" t="s">
        <v>77</v>
      </c>
      <c r="B575" s="211" t="s">
        <v>33</v>
      </c>
      <c r="C575" s="216" t="s">
        <v>632</v>
      </c>
      <c r="D575" s="222">
        <v>88.1</v>
      </c>
      <c r="E575" s="222">
        <v>-6</v>
      </c>
      <c r="F575" s="211">
        <v>-6</v>
      </c>
      <c r="I575" s="218" t="str">
        <f>IFERROR(HLOOKUP('Air Source Heat Pump(s)'!D566,'phius_monthly climate data'!$L$3:$CA$83,'phius_monthly climate data'!$CD570,FALSE),"")</f>
        <v/>
      </c>
      <c r="CD575" s="215">
        <v>573</v>
      </c>
    </row>
    <row r="576" spans="1:82" x14ac:dyDescent="0.35">
      <c r="A576" s="211" t="s">
        <v>77</v>
      </c>
      <c r="B576" s="211" t="s">
        <v>33</v>
      </c>
      <c r="C576" s="216" t="s">
        <v>633</v>
      </c>
      <c r="D576" s="222">
        <v>85.5</v>
      </c>
      <c r="E576" s="222">
        <v>-11.8</v>
      </c>
      <c r="F576" s="211">
        <v>-11</v>
      </c>
      <c r="I576" s="218" t="str">
        <f>IFERROR(HLOOKUP('Air Source Heat Pump(s)'!D567,'phius_monthly climate data'!$L$3:$CA$83,'phius_monthly climate data'!$CD571,FALSE),"")</f>
        <v/>
      </c>
      <c r="CD576" s="215">
        <v>574</v>
      </c>
    </row>
    <row r="577" spans="1:82" x14ac:dyDescent="0.35">
      <c r="A577" s="211" t="s">
        <v>77</v>
      </c>
      <c r="B577" s="211" t="s">
        <v>33</v>
      </c>
      <c r="C577" s="216" t="s">
        <v>634</v>
      </c>
      <c r="D577" s="222">
        <v>85.7</v>
      </c>
      <c r="E577" s="222">
        <v>-12.9</v>
      </c>
      <c r="F577" s="211">
        <v>-1</v>
      </c>
      <c r="I577" s="218" t="str">
        <f>IFERROR(HLOOKUP('Air Source Heat Pump(s)'!D568,'phius_monthly climate data'!$L$3:$CA$83,'phius_monthly climate data'!$CD572,FALSE),"")</f>
        <v/>
      </c>
      <c r="CD577" s="215">
        <v>575</v>
      </c>
    </row>
    <row r="578" spans="1:82" x14ac:dyDescent="0.35">
      <c r="A578" s="211" t="s">
        <v>77</v>
      </c>
      <c r="B578" s="211" t="s">
        <v>33</v>
      </c>
      <c r="C578" s="216" t="s">
        <v>635</v>
      </c>
      <c r="D578" s="222">
        <v>87.6</v>
      </c>
      <c r="E578" s="222">
        <v>-8.6</v>
      </c>
      <c r="F578" s="211">
        <v>5</v>
      </c>
      <c r="I578" s="218" t="str">
        <f>IFERROR(HLOOKUP('Air Source Heat Pump(s)'!D569,'phius_monthly climate data'!$L$3:$CA$83,'phius_monthly climate data'!$CD573,FALSE),"")</f>
        <v/>
      </c>
      <c r="CD578" s="215">
        <v>576</v>
      </c>
    </row>
    <row r="579" spans="1:82" x14ac:dyDescent="0.35">
      <c r="A579" s="211" t="s">
        <v>77</v>
      </c>
      <c r="B579" s="211" t="s">
        <v>33</v>
      </c>
      <c r="C579" s="216" t="s">
        <v>636</v>
      </c>
      <c r="D579" s="222">
        <v>82</v>
      </c>
      <c r="E579" s="222">
        <v>-19.100000000000001</v>
      </c>
      <c r="F579" s="211">
        <v>-15</v>
      </c>
      <c r="I579" s="218" t="str">
        <f>IFERROR(HLOOKUP('Air Source Heat Pump(s)'!D570,'phius_monthly climate data'!$L$3:$CA$83,'phius_monthly climate data'!$CD574,FALSE),"")</f>
        <v/>
      </c>
      <c r="CD579" s="215">
        <v>577</v>
      </c>
    </row>
    <row r="580" spans="1:82" x14ac:dyDescent="0.35">
      <c r="A580" s="211" t="s">
        <v>77</v>
      </c>
      <c r="B580" s="211" t="s">
        <v>33</v>
      </c>
      <c r="C580" s="216" t="s">
        <v>637</v>
      </c>
      <c r="D580" s="222">
        <v>86.4</v>
      </c>
      <c r="E580" s="222">
        <v>-8.6</v>
      </c>
      <c r="F580" s="211">
        <v>-20</v>
      </c>
      <c r="I580" s="218" t="str">
        <f>IFERROR(HLOOKUP('Air Source Heat Pump(s)'!D571,'phius_monthly climate data'!$L$3:$CA$83,'phius_monthly climate data'!$CD575,FALSE),"")</f>
        <v/>
      </c>
      <c r="CD580" s="215">
        <v>578</v>
      </c>
    </row>
    <row r="581" spans="1:82" x14ac:dyDescent="0.35">
      <c r="A581" s="211" t="s">
        <v>77</v>
      </c>
      <c r="B581" s="211" t="s">
        <v>33</v>
      </c>
      <c r="C581" s="216" t="s">
        <v>638</v>
      </c>
      <c r="D581" s="222">
        <v>84.2</v>
      </c>
      <c r="E581" s="222">
        <v>-17.7</v>
      </c>
      <c r="F581" s="211">
        <v>-10</v>
      </c>
      <c r="I581" s="218" t="str">
        <f>IFERROR(HLOOKUP('Air Source Heat Pump(s)'!D572,'phius_monthly climate data'!$L$3:$CA$83,'phius_monthly climate data'!$CD576,FALSE),"")</f>
        <v/>
      </c>
      <c r="CD581" s="215">
        <v>579</v>
      </c>
    </row>
    <row r="582" spans="1:82" x14ac:dyDescent="0.35">
      <c r="A582" s="211" t="s">
        <v>77</v>
      </c>
      <c r="B582" s="211" t="s">
        <v>33</v>
      </c>
      <c r="C582" s="216" t="s">
        <v>639</v>
      </c>
      <c r="D582" s="222">
        <v>86.2</v>
      </c>
      <c r="E582" s="222">
        <v>-8.1999999999999993</v>
      </c>
      <c r="F582" s="211">
        <v>-11</v>
      </c>
      <c r="I582" s="218" t="str">
        <f>IFERROR(HLOOKUP('Air Source Heat Pump(s)'!D573,'phius_monthly climate data'!$L$3:$CA$83,'phius_monthly climate data'!$CD577,FALSE),"")</f>
        <v/>
      </c>
      <c r="CD582" s="215">
        <v>580</v>
      </c>
    </row>
    <row r="583" spans="1:82" x14ac:dyDescent="0.35">
      <c r="A583" s="211" t="s">
        <v>77</v>
      </c>
      <c r="B583" s="211" t="s">
        <v>33</v>
      </c>
      <c r="C583" s="216" t="s">
        <v>640</v>
      </c>
      <c r="D583" s="222">
        <v>88.2</v>
      </c>
      <c r="E583" s="222">
        <v>-8.1</v>
      </c>
      <c r="F583" s="211">
        <v>-2</v>
      </c>
      <c r="I583" s="218" t="str">
        <f>IFERROR(HLOOKUP('Air Source Heat Pump(s)'!D574,'phius_monthly climate data'!$L$3:$CA$83,'phius_monthly climate data'!$CD578,FALSE),"")</f>
        <v/>
      </c>
      <c r="CD583" s="215">
        <v>581</v>
      </c>
    </row>
    <row r="584" spans="1:82" x14ac:dyDescent="0.35">
      <c r="A584" s="211" t="s">
        <v>77</v>
      </c>
      <c r="B584" s="211" t="s">
        <v>33</v>
      </c>
      <c r="C584" s="216" t="s">
        <v>641</v>
      </c>
      <c r="D584" s="222">
        <v>88.4</v>
      </c>
      <c r="E584" s="222">
        <v>-8.6999999999999993</v>
      </c>
      <c r="F584" s="211">
        <v>-8</v>
      </c>
      <c r="I584" s="218" t="str">
        <f>IFERROR(HLOOKUP('Air Source Heat Pump(s)'!D575,'phius_monthly climate data'!$L$3:$CA$83,'phius_monthly climate data'!$CD579,FALSE),"")</f>
        <v/>
      </c>
      <c r="CD584" s="215">
        <v>582</v>
      </c>
    </row>
    <row r="585" spans="1:82" x14ac:dyDescent="0.35">
      <c r="A585" s="211" t="s">
        <v>77</v>
      </c>
      <c r="B585" s="211" t="s">
        <v>33</v>
      </c>
      <c r="C585" s="216" t="s">
        <v>642</v>
      </c>
      <c r="D585" s="222">
        <v>84.7</v>
      </c>
      <c r="E585" s="222">
        <v>-7.6</v>
      </c>
      <c r="F585" s="211">
        <v>-21</v>
      </c>
      <c r="I585" s="218" t="str">
        <f>IFERROR(HLOOKUP('Air Source Heat Pump(s)'!D576,'phius_monthly climate data'!$L$3:$CA$83,'phius_monthly climate data'!$CD580,FALSE),"")</f>
        <v/>
      </c>
      <c r="CD585" s="215">
        <v>583</v>
      </c>
    </row>
    <row r="586" spans="1:82" x14ac:dyDescent="0.35">
      <c r="A586" s="211" t="s">
        <v>77</v>
      </c>
      <c r="B586" s="211" t="s">
        <v>33</v>
      </c>
      <c r="C586" s="216" t="s">
        <v>643</v>
      </c>
      <c r="D586" s="222">
        <v>83.6</v>
      </c>
      <c r="E586" s="222">
        <v>-19.5</v>
      </c>
      <c r="F586" s="211">
        <v>-10</v>
      </c>
      <c r="I586" s="218" t="str">
        <f>IFERROR(HLOOKUP('Air Source Heat Pump(s)'!D577,'phius_monthly climate data'!$L$3:$CA$83,'phius_monthly climate data'!$CD581,FALSE),"")</f>
        <v/>
      </c>
      <c r="CD586" s="215">
        <v>584</v>
      </c>
    </row>
    <row r="587" spans="1:82" x14ac:dyDescent="0.35">
      <c r="A587" s="211" t="s">
        <v>77</v>
      </c>
      <c r="B587" s="211" t="s">
        <v>33</v>
      </c>
      <c r="C587" s="216" t="s">
        <v>644</v>
      </c>
      <c r="D587" s="222">
        <v>81.5</v>
      </c>
      <c r="E587" s="222">
        <v>-14.7</v>
      </c>
      <c r="F587" s="211">
        <v>-9</v>
      </c>
      <c r="I587" s="218" t="str">
        <f>IFERROR(HLOOKUP('Air Source Heat Pump(s)'!D578,'phius_monthly climate data'!$L$3:$CA$83,'phius_monthly climate data'!$CD582,FALSE),"")</f>
        <v/>
      </c>
      <c r="CD587" s="215">
        <v>585</v>
      </c>
    </row>
    <row r="588" spans="1:82" x14ac:dyDescent="0.35">
      <c r="A588" s="211" t="s">
        <v>77</v>
      </c>
      <c r="B588" s="211" t="s">
        <v>33</v>
      </c>
      <c r="C588" s="216" t="s">
        <v>645</v>
      </c>
      <c r="D588" s="222">
        <v>88.1</v>
      </c>
      <c r="E588" s="222">
        <v>-4.4000000000000004</v>
      </c>
      <c r="F588" s="211">
        <v>-5</v>
      </c>
      <c r="I588" s="218" t="str">
        <f>IFERROR(HLOOKUP('Air Source Heat Pump(s)'!D579,'phius_monthly climate data'!$L$3:$CA$83,'phius_monthly climate data'!$CD583,FALSE),"")</f>
        <v/>
      </c>
      <c r="CD588" s="215">
        <v>586</v>
      </c>
    </row>
    <row r="589" spans="1:82" x14ac:dyDescent="0.35">
      <c r="A589" s="211" t="s">
        <v>77</v>
      </c>
      <c r="B589" s="211" t="s">
        <v>33</v>
      </c>
      <c r="C589" s="216" t="s">
        <v>646</v>
      </c>
      <c r="D589" s="222">
        <v>86.3</v>
      </c>
      <c r="E589" s="222">
        <v>-11.3</v>
      </c>
      <c r="F589" s="211">
        <v>-12</v>
      </c>
      <c r="I589" s="218" t="str">
        <f>IFERROR(HLOOKUP('Air Source Heat Pump(s)'!D580,'phius_monthly climate data'!$L$3:$CA$83,'phius_monthly climate data'!$CD584,FALSE),"")</f>
        <v/>
      </c>
      <c r="CD589" s="215">
        <v>587</v>
      </c>
    </row>
    <row r="590" spans="1:82" x14ac:dyDescent="0.35">
      <c r="A590" s="211" t="s">
        <v>77</v>
      </c>
      <c r="B590" s="211" t="s">
        <v>33</v>
      </c>
      <c r="C590" s="216" t="s">
        <v>647</v>
      </c>
      <c r="D590" s="222">
        <v>87.9</v>
      </c>
      <c r="E590" s="222">
        <v>-5.8</v>
      </c>
      <c r="F590" s="211">
        <v>-16</v>
      </c>
      <c r="CD590" s="215">
        <v>588</v>
      </c>
    </row>
    <row r="591" spans="1:82" x14ac:dyDescent="0.35">
      <c r="A591" s="211" t="s">
        <v>77</v>
      </c>
      <c r="B591" s="211" t="s">
        <v>33</v>
      </c>
      <c r="C591" s="216" t="s">
        <v>648</v>
      </c>
      <c r="D591" s="222">
        <v>82.2</v>
      </c>
      <c r="E591" s="222">
        <v>-17.5</v>
      </c>
      <c r="F591" s="211">
        <v>-8</v>
      </c>
      <c r="I591" s="218" t="str">
        <f>IFERROR(HLOOKUP('Air Source Heat Pump(s)'!D581,'phius_monthly climate data'!$L$3:$CA$83,'phius_monthly climate data'!$CD586,FALSE),"")</f>
        <v/>
      </c>
      <c r="CD591" s="215">
        <v>589</v>
      </c>
    </row>
    <row r="592" spans="1:82" x14ac:dyDescent="0.35">
      <c r="A592" s="211" t="s">
        <v>77</v>
      </c>
      <c r="B592" s="211" t="s">
        <v>33</v>
      </c>
      <c r="C592" s="216" t="s">
        <v>1222</v>
      </c>
      <c r="D592" s="222">
        <v>81.3</v>
      </c>
      <c r="E592" s="222">
        <v>-10.9</v>
      </c>
      <c r="F592" s="211">
        <v>-0.94</v>
      </c>
      <c r="I592" s="218" t="str">
        <f>IFERROR(HLOOKUP('Air Source Heat Pump(s)'!D582,'phius_monthly climate data'!$L$3:$CA$83,'phius_monthly climate data'!$CD587,FALSE),"")</f>
        <v/>
      </c>
      <c r="CD592" s="215">
        <v>590</v>
      </c>
    </row>
    <row r="593" spans="1:82" x14ac:dyDescent="0.35">
      <c r="A593" s="211" t="s">
        <v>77</v>
      </c>
      <c r="B593" s="211" t="s">
        <v>33</v>
      </c>
      <c r="C593" s="216" t="s">
        <v>649</v>
      </c>
      <c r="D593" s="222">
        <v>86.1</v>
      </c>
      <c r="E593" s="222">
        <v>-11.3</v>
      </c>
      <c r="F593" s="211">
        <v>2</v>
      </c>
      <c r="I593" s="218" t="str">
        <f>IFERROR(HLOOKUP('Air Source Heat Pump(s)'!D583,'phius_monthly climate data'!$L$3:$CA$83,'phius_monthly climate data'!$CD588,FALSE),"")</f>
        <v/>
      </c>
      <c r="CD593" s="215">
        <v>591</v>
      </c>
    </row>
    <row r="594" spans="1:82" x14ac:dyDescent="0.35">
      <c r="A594" s="211" t="s">
        <v>77</v>
      </c>
      <c r="B594" s="211" t="s">
        <v>33</v>
      </c>
      <c r="C594" s="216" t="s">
        <v>650</v>
      </c>
      <c r="D594" s="222">
        <v>86</v>
      </c>
      <c r="E594" s="222">
        <v>-11.3</v>
      </c>
      <c r="F594" s="211">
        <v>-10</v>
      </c>
      <c r="I594" s="218" t="str">
        <f>IFERROR(HLOOKUP('Air Source Heat Pump(s)'!D584,'phius_monthly climate data'!$L$3:$CA$83,'phius_monthly climate data'!$CD589,FALSE),"")</f>
        <v/>
      </c>
      <c r="CD594" s="215">
        <v>592</v>
      </c>
    </row>
    <row r="595" spans="1:82" x14ac:dyDescent="0.35">
      <c r="A595" s="211" t="s">
        <v>77</v>
      </c>
      <c r="B595" s="211" t="s">
        <v>33</v>
      </c>
      <c r="C595" s="216" t="s">
        <v>651</v>
      </c>
      <c r="D595" s="222">
        <v>88.4</v>
      </c>
      <c r="E595" s="222">
        <v>-4.3</v>
      </c>
      <c r="F595" s="211">
        <v>-4</v>
      </c>
      <c r="I595" s="218" t="str">
        <f>IFERROR(HLOOKUP('Air Source Heat Pump(s)'!D585,'phius_monthly climate data'!$L$3:$CA$83,'phius_monthly climate data'!$CD590,FALSE),"")</f>
        <v/>
      </c>
      <c r="CD595" s="215">
        <v>593</v>
      </c>
    </row>
    <row r="596" spans="1:82" x14ac:dyDescent="0.35">
      <c r="A596" s="211" t="s">
        <v>77</v>
      </c>
      <c r="B596" s="211" t="s">
        <v>33</v>
      </c>
      <c r="C596" s="216" t="s">
        <v>652</v>
      </c>
      <c r="D596" s="222">
        <v>85.6</v>
      </c>
      <c r="E596" s="222">
        <v>-7.6</v>
      </c>
      <c r="F596" s="211">
        <v>-4</v>
      </c>
      <c r="I596" s="218" t="str">
        <f>IFERROR(HLOOKUP('Air Source Heat Pump(s)'!D586,'phius_monthly climate data'!$L$3:$CA$83,'phius_monthly climate data'!$CD591,FALSE),"")</f>
        <v/>
      </c>
      <c r="CD596" s="215">
        <v>594</v>
      </c>
    </row>
    <row r="597" spans="1:82" x14ac:dyDescent="0.35">
      <c r="A597" s="211" t="s">
        <v>77</v>
      </c>
      <c r="B597" s="211" t="s">
        <v>34</v>
      </c>
      <c r="C597" s="216" t="s">
        <v>653</v>
      </c>
      <c r="D597" s="222">
        <v>92.3</v>
      </c>
      <c r="E597" s="222">
        <v>15.9</v>
      </c>
      <c r="F597" s="211">
        <v>7</v>
      </c>
      <c r="I597" s="218" t="str">
        <f>IFERROR(HLOOKUP('Air Source Heat Pump(s)'!D587,'phius_monthly climate data'!$L$3:$CA$83,'phius_monthly climate data'!$CD592,FALSE),"")</f>
        <v/>
      </c>
      <c r="CD597" s="215">
        <v>595</v>
      </c>
    </row>
    <row r="598" spans="1:82" x14ac:dyDescent="0.35">
      <c r="A598" s="211" t="s">
        <v>77</v>
      </c>
      <c r="B598" s="211" t="s">
        <v>34</v>
      </c>
      <c r="C598" s="216" t="s">
        <v>654</v>
      </c>
      <c r="D598" s="222">
        <v>91.7</v>
      </c>
      <c r="E598" s="222">
        <v>9.1999999999999993</v>
      </c>
      <c r="F598" s="211">
        <v>10</v>
      </c>
      <c r="I598" s="218" t="str">
        <f>IFERROR(HLOOKUP('Air Source Heat Pump(s)'!D588,'phius_monthly climate data'!$L$3:$CA$83,'phius_monthly climate data'!$CD593,FALSE),"")</f>
        <v/>
      </c>
      <c r="CD598" s="215">
        <v>596</v>
      </c>
    </row>
    <row r="599" spans="1:82" x14ac:dyDescent="0.35">
      <c r="A599" s="211" t="s">
        <v>77</v>
      </c>
      <c r="B599" s="211" t="s">
        <v>34</v>
      </c>
      <c r="C599" s="216" t="s">
        <v>655</v>
      </c>
      <c r="D599" s="222">
        <v>90.9</v>
      </c>
      <c r="E599" s="222">
        <v>12.1</v>
      </c>
      <c r="F599" s="211">
        <v>6</v>
      </c>
      <c r="I599" s="218" t="str">
        <f>IFERROR(HLOOKUP('Air Source Heat Pump(s)'!D589,'phius_monthly climate data'!$L$3:$CA$83,'phius_monthly climate data'!$CD594,FALSE),"")</f>
        <v/>
      </c>
      <c r="CD599" s="215">
        <v>597</v>
      </c>
    </row>
    <row r="600" spans="1:82" x14ac:dyDescent="0.35">
      <c r="A600" s="211" t="s">
        <v>77</v>
      </c>
      <c r="B600" s="211" t="s">
        <v>34</v>
      </c>
      <c r="C600" s="216" t="s">
        <v>656</v>
      </c>
      <c r="D600" s="222">
        <v>92.8</v>
      </c>
      <c r="E600" s="222">
        <v>11.6</v>
      </c>
      <c r="F600" s="211">
        <v>16</v>
      </c>
      <c r="I600" s="218" t="str">
        <f>IFERROR(HLOOKUP('Air Source Heat Pump(s)'!D590,'phius_monthly climate data'!$L$3:$CA$83,'phius_monthly climate data'!$CD595,FALSE),"")</f>
        <v/>
      </c>
      <c r="CD600" s="215">
        <v>598</v>
      </c>
    </row>
    <row r="601" spans="1:82" x14ac:dyDescent="0.35">
      <c r="A601" s="211" t="s">
        <v>77</v>
      </c>
      <c r="B601" s="211" t="s">
        <v>34</v>
      </c>
      <c r="C601" s="216" t="s">
        <v>657</v>
      </c>
      <c r="D601" s="222">
        <v>94.4</v>
      </c>
      <c r="E601" s="222">
        <v>14</v>
      </c>
      <c r="F601" s="211">
        <v>19</v>
      </c>
      <c r="I601" s="218" t="str">
        <f>IFERROR(HLOOKUP('Air Source Heat Pump(s)'!D591,'phius_monthly climate data'!$L$3:$CA$83,'phius_monthly climate data'!$CD596,FALSE),"")</f>
        <v/>
      </c>
      <c r="CD601" s="215">
        <v>599</v>
      </c>
    </row>
    <row r="602" spans="1:82" x14ac:dyDescent="0.35">
      <c r="A602" s="211" t="s">
        <v>77</v>
      </c>
      <c r="B602" s="211" t="s">
        <v>34</v>
      </c>
      <c r="C602" s="216" t="s">
        <v>658</v>
      </c>
      <c r="D602" s="222">
        <v>93</v>
      </c>
      <c r="E602" s="222">
        <v>11</v>
      </c>
      <c r="F602" s="211">
        <v>19</v>
      </c>
      <c r="I602" s="218" t="str">
        <f>IFERROR(HLOOKUP('Air Source Heat Pump(s)'!D592,'phius_monthly climate data'!$L$3:$CA$83,'phius_monthly climate data'!$CD597,FALSE),"")</f>
        <v/>
      </c>
      <c r="CD602" s="215">
        <v>600</v>
      </c>
    </row>
    <row r="603" spans="1:82" x14ac:dyDescent="0.35">
      <c r="A603" s="211" t="s">
        <v>77</v>
      </c>
      <c r="B603" s="211" t="s">
        <v>34</v>
      </c>
      <c r="C603" s="216" t="s">
        <v>659</v>
      </c>
      <c r="D603" s="222">
        <v>94.1</v>
      </c>
      <c r="E603" s="222">
        <v>10.199999999999999</v>
      </c>
      <c r="F603" s="211">
        <v>14</v>
      </c>
      <c r="I603" s="218" t="str">
        <f>IFERROR(HLOOKUP('Air Source Heat Pump(s)'!D593,'phius_monthly climate data'!$L$3:$CA$83,'phius_monthly climate data'!$CD598,FALSE),"")</f>
        <v/>
      </c>
      <c r="CD603" s="215">
        <v>601</v>
      </c>
    </row>
    <row r="604" spans="1:82" x14ac:dyDescent="0.35">
      <c r="A604" s="211" t="s">
        <v>77</v>
      </c>
      <c r="B604" s="211" t="s">
        <v>34</v>
      </c>
      <c r="C604" s="216" t="s">
        <v>660</v>
      </c>
      <c r="D604" s="222">
        <v>92.7</v>
      </c>
      <c r="E604" s="222">
        <v>7.5</v>
      </c>
      <c r="F604" s="211">
        <v>10</v>
      </c>
      <c r="I604" s="218" t="str">
        <f>IFERROR(HLOOKUP('Air Source Heat Pump(s)'!D594,'phius_monthly climate data'!$L$3:$CA$83,'phius_monthly climate data'!$CD599,FALSE),"")</f>
        <v/>
      </c>
      <c r="CD604" s="215">
        <v>602</v>
      </c>
    </row>
    <row r="605" spans="1:82" x14ac:dyDescent="0.35">
      <c r="A605" s="211" t="s">
        <v>77</v>
      </c>
      <c r="B605" s="211" t="s">
        <v>34</v>
      </c>
      <c r="C605" s="216" t="s">
        <v>661</v>
      </c>
      <c r="D605" s="222">
        <v>90.3</v>
      </c>
      <c r="E605" s="222">
        <v>5.0999999999999996</v>
      </c>
      <c r="F605" s="211">
        <v>-4</v>
      </c>
      <c r="I605" s="218" t="str">
        <f>IFERROR(HLOOKUP('Air Source Heat Pump(s)'!D595,'phius_monthly climate data'!$L$3:$CA$83,'phius_monthly climate data'!$CD600,FALSE),"")</f>
        <v/>
      </c>
      <c r="CD605" s="215">
        <v>603</v>
      </c>
    </row>
    <row r="606" spans="1:82" x14ac:dyDescent="0.35">
      <c r="A606" s="211" t="s">
        <v>77</v>
      </c>
      <c r="B606" s="211" t="s">
        <v>34</v>
      </c>
      <c r="C606" s="216" t="s">
        <v>662</v>
      </c>
      <c r="D606" s="222">
        <v>92.4</v>
      </c>
      <c r="E606" s="222">
        <v>18.2</v>
      </c>
      <c r="F606" s="211">
        <v>23</v>
      </c>
      <c r="I606" s="218" t="str">
        <f>IFERROR(HLOOKUP('Air Source Heat Pump(s)'!D596,'phius_monthly climate data'!$L$3:$CA$83,'phius_monthly climate data'!$CD601,FALSE),"")</f>
        <v/>
      </c>
      <c r="CD606" s="215">
        <v>604</v>
      </c>
    </row>
    <row r="607" spans="1:82" x14ac:dyDescent="0.35">
      <c r="A607" s="211" t="s">
        <v>77</v>
      </c>
      <c r="B607" s="211" t="s">
        <v>34</v>
      </c>
      <c r="C607" s="216" t="s">
        <v>663</v>
      </c>
      <c r="D607" s="222">
        <v>92.4</v>
      </c>
      <c r="E607" s="222">
        <v>12.8</v>
      </c>
      <c r="F607" s="211">
        <v>15</v>
      </c>
      <c r="I607" s="218" t="str">
        <f>IFERROR(HLOOKUP('Air Source Heat Pump(s)'!D597,'phius_monthly climate data'!$L$3:$CA$83,'phius_monthly climate data'!$CD602,FALSE),"")</f>
        <v/>
      </c>
      <c r="CD607" s="215">
        <v>605</v>
      </c>
    </row>
    <row r="608" spans="1:82" x14ac:dyDescent="0.35">
      <c r="A608" s="211" t="s">
        <v>77</v>
      </c>
      <c r="B608" s="211" t="s">
        <v>34</v>
      </c>
      <c r="C608" s="216" t="s">
        <v>664</v>
      </c>
      <c r="D608" s="222">
        <v>92</v>
      </c>
      <c r="E608" s="222">
        <v>5.3</v>
      </c>
      <c r="F608" s="211">
        <v>12</v>
      </c>
      <c r="I608" s="218" t="str">
        <f>IFERROR(HLOOKUP('Air Source Heat Pump(s)'!D598,'phius_monthly climate data'!$L$3:$CA$83,'phius_monthly climate data'!$CD603,FALSE),"")</f>
        <v/>
      </c>
      <c r="CD608" s="215">
        <v>606</v>
      </c>
    </row>
    <row r="609" spans="1:82" x14ac:dyDescent="0.35">
      <c r="A609" s="211" t="s">
        <v>77</v>
      </c>
      <c r="B609" s="211" t="s">
        <v>34</v>
      </c>
      <c r="C609" s="216" t="s">
        <v>665</v>
      </c>
      <c r="D609" s="222">
        <v>93.5</v>
      </c>
      <c r="E609" s="222">
        <v>12.7</v>
      </c>
      <c r="F609" s="211">
        <v>11</v>
      </c>
      <c r="I609" s="218" t="str">
        <f>IFERROR(HLOOKUP('Air Source Heat Pump(s)'!D599,'phius_monthly climate data'!$L$3:$CA$83,'phius_monthly climate data'!$CD604,FALSE),"")</f>
        <v/>
      </c>
      <c r="CD609" s="215">
        <v>607</v>
      </c>
    </row>
    <row r="610" spans="1:82" x14ac:dyDescent="0.35">
      <c r="A610" s="211" t="s">
        <v>77</v>
      </c>
      <c r="B610" s="211" t="s">
        <v>34</v>
      </c>
      <c r="C610" s="216" t="s">
        <v>666</v>
      </c>
      <c r="D610" s="222">
        <v>92.8</v>
      </c>
      <c r="E610" s="222">
        <v>11.7</v>
      </c>
      <c r="F610" s="211">
        <v>18</v>
      </c>
      <c r="I610" s="218" t="str">
        <f>IFERROR(HLOOKUP('Air Source Heat Pump(s)'!D600,'phius_monthly climate data'!$L$3:$CA$83,'phius_monthly climate data'!$CD605,FALSE),"")</f>
        <v/>
      </c>
      <c r="CD610" s="215">
        <v>608</v>
      </c>
    </row>
    <row r="611" spans="1:82" x14ac:dyDescent="0.35">
      <c r="A611" s="211" t="s">
        <v>77</v>
      </c>
      <c r="B611" s="211" t="s">
        <v>34</v>
      </c>
      <c r="C611" s="216" t="s">
        <v>667</v>
      </c>
      <c r="D611" s="222">
        <v>92.1</v>
      </c>
      <c r="E611" s="222">
        <v>10.9</v>
      </c>
      <c r="F611" s="211">
        <v>1</v>
      </c>
      <c r="I611" s="218" t="str">
        <f>IFERROR(HLOOKUP('Air Source Heat Pump(s)'!D601,'phius_monthly climate data'!$L$3:$CA$83,'phius_monthly climate data'!$CD606,FALSE),"")</f>
        <v/>
      </c>
      <c r="CD611" s="215">
        <v>609</v>
      </c>
    </row>
    <row r="612" spans="1:82" x14ac:dyDescent="0.35">
      <c r="A612" s="211" t="s">
        <v>77</v>
      </c>
      <c r="B612" s="211" t="s">
        <v>34</v>
      </c>
      <c r="C612" s="216" t="s">
        <v>668</v>
      </c>
      <c r="D612" s="222">
        <v>93.3</v>
      </c>
      <c r="E612" s="222">
        <v>9.1</v>
      </c>
      <c r="F612" s="211">
        <v>5</v>
      </c>
      <c r="I612" s="218" t="str">
        <f>IFERROR(HLOOKUP('Air Source Heat Pump(s)'!D602,'phius_monthly climate data'!$L$3:$CA$83,'phius_monthly climate data'!$CD607,FALSE),"")</f>
        <v/>
      </c>
      <c r="CD612" s="215">
        <v>610</v>
      </c>
    </row>
    <row r="613" spans="1:82" x14ac:dyDescent="0.35">
      <c r="A613" s="211" t="s">
        <v>77</v>
      </c>
      <c r="B613" s="211" t="s">
        <v>35</v>
      </c>
      <c r="C613" s="216" t="s">
        <v>669</v>
      </c>
      <c r="D613" s="222">
        <v>94.5</v>
      </c>
      <c r="E613" s="222">
        <v>25</v>
      </c>
      <c r="F613" s="211">
        <v>21</v>
      </c>
      <c r="CD613" s="215">
        <v>611</v>
      </c>
    </row>
    <row r="614" spans="1:82" x14ac:dyDescent="0.35">
      <c r="A614" s="211" t="s">
        <v>77</v>
      </c>
      <c r="B614" s="211" t="s">
        <v>35</v>
      </c>
      <c r="C614" s="216" t="s">
        <v>670</v>
      </c>
      <c r="D614" s="222">
        <v>93.3</v>
      </c>
      <c r="E614" s="222">
        <v>24.8</v>
      </c>
      <c r="F614" s="211">
        <v>19</v>
      </c>
      <c r="I614" s="218" t="str">
        <f>IFERROR(HLOOKUP('Air Source Heat Pump(s)'!D603,'phius_monthly climate data'!$L$3:$CA$83,'phius_monthly climate data'!$CD609,FALSE),"")</f>
        <v/>
      </c>
      <c r="CD614" s="215">
        <v>612</v>
      </c>
    </row>
    <row r="615" spans="1:82" x14ac:dyDescent="0.35">
      <c r="A615" s="211" t="s">
        <v>77</v>
      </c>
      <c r="B615" s="211" t="s">
        <v>35</v>
      </c>
      <c r="C615" s="216" t="s">
        <v>1206</v>
      </c>
      <c r="D615" s="222">
        <v>94.9</v>
      </c>
      <c r="E615" s="222">
        <v>26.6</v>
      </c>
      <c r="F615" s="211">
        <v>30.56</v>
      </c>
      <c r="I615" s="218" t="str">
        <f>IFERROR(HLOOKUP('Air Source Heat Pump(s)'!D604,'phius_monthly climate data'!$L$3:$CA$83,'phius_monthly climate data'!$CD610,FALSE),"")</f>
        <v/>
      </c>
      <c r="CD615" s="215">
        <v>613</v>
      </c>
    </row>
    <row r="616" spans="1:82" x14ac:dyDescent="0.35">
      <c r="A616" s="211" t="s">
        <v>77</v>
      </c>
      <c r="B616" s="211" t="s">
        <v>35</v>
      </c>
      <c r="C616" s="216" t="s">
        <v>671</v>
      </c>
      <c r="D616" s="222">
        <v>94.2</v>
      </c>
      <c r="E616" s="222">
        <v>25.4</v>
      </c>
      <c r="F616" s="211">
        <v>27</v>
      </c>
      <c r="I616" s="218" t="str">
        <f>IFERROR(HLOOKUP('Air Source Heat Pump(s)'!D605,'phius_monthly climate data'!$L$3:$CA$83,'phius_monthly climate data'!$CD611,FALSE),"")</f>
        <v/>
      </c>
      <c r="CD616" s="215">
        <v>614</v>
      </c>
    </row>
    <row r="617" spans="1:82" x14ac:dyDescent="0.35">
      <c r="A617" s="211" t="s">
        <v>77</v>
      </c>
      <c r="B617" s="211" t="s">
        <v>35</v>
      </c>
      <c r="C617" s="216" t="s">
        <v>672</v>
      </c>
      <c r="D617" s="222">
        <v>92</v>
      </c>
      <c r="E617" s="222">
        <v>32.299999999999997</v>
      </c>
      <c r="F617" s="211">
        <v>38</v>
      </c>
      <c r="I617" s="218" t="str">
        <f>IFERROR(HLOOKUP('Air Source Heat Pump(s)'!D606,'phius_monthly climate data'!$L$3:$CA$83,'phius_monthly climate data'!$CD612,FALSE),"")</f>
        <v/>
      </c>
      <c r="CD617" s="215">
        <v>615</v>
      </c>
    </row>
    <row r="618" spans="1:82" x14ac:dyDescent="0.35">
      <c r="A618" s="211" t="s">
        <v>77</v>
      </c>
      <c r="B618" s="211" t="s">
        <v>35</v>
      </c>
      <c r="C618" s="216" t="s">
        <v>673</v>
      </c>
      <c r="D618" s="222">
        <v>93.1</v>
      </c>
      <c r="E618" s="222">
        <v>27.7</v>
      </c>
      <c r="F618" s="211">
        <v>35</v>
      </c>
      <c r="I618" s="218" t="str">
        <f>IFERROR(HLOOKUP('Air Source Heat Pump(s)'!D607,'phius_monthly climate data'!$L$3:$CA$83,'phius_monthly climate data'!$CD613,FALSE),"")</f>
        <v/>
      </c>
      <c r="CD618" s="215">
        <v>616</v>
      </c>
    </row>
    <row r="619" spans="1:82" x14ac:dyDescent="0.35">
      <c r="A619" s="211" t="s">
        <v>77</v>
      </c>
      <c r="B619" s="211" t="s">
        <v>35</v>
      </c>
      <c r="C619" s="216" t="s">
        <v>674</v>
      </c>
      <c r="D619" s="222">
        <v>94.2</v>
      </c>
      <c r="E619" s="222">
        <v>26.9</v>
      </c>
      <c r="F619" s="211">
        <v>33</v>
      </c>
      <c r="I619" s="218" t="str">
        <f>IFERROR(HLOOKUP('Air Source Heat Pump(s)'!D608,'phius_monthly climate data'!$L$3:$CA$83,'phius_monthly climate data'!$CD614,FALSE),"")</f>
        <v/>
      </c>
      <c r="CD619" s="215">
        <v>617</v>
      </c>
    </row>
    <row r="620" spans="1:82" x14ac:dyDescent="0.35">
      <c r="A620" s="211" t="s">
        <v>77</v>
      </c>
      <c r="B620" s="211" t="s">
        <v>35</v>
      </c>
      <c r="C620" s="216" t="s">
        <v>675</v>
      </c>
      <c r="D620" s="222">
        <v>92.2</v>
      </c>
      <c r="E620" s="222">
        <v>34.700000000000003</v>
      </c>
      <c r="F620" s="211">
        <v>32</v>
      </c>
      <c r="I620" s="218" t="str">
        <f>IFERROR(HLOOKUP('Air Source Heat Pump(s)'!D609,'phius_monthly climate data'!$L$3:$CA$83,'phius_monthly climate data'!$CD615,FALSE),"")</f>
        <v/>
      </c>
      <c r="CD620" s="215">
        <v>618</v>
      </c>
    </row>
    <row r="621" spans="1:82" x14ac:dyDescent="0.35">
      <c r="A621" s="211" t="s">
        <v>77</v>
      </c>
      <c r="B621" s="211" t="s">
        <v>35</v>
      </c>
      <c r="C621" s="216" t="s">
        <v>676</v>
      </c>
      <c r="D621" s="222">
        <v>93.1</v>
      </c>
      <c r="E621" s="222">
        <v>29.2</v>
      </c>
      <c r="F621" s="211">
        <v>32</v>
      </c>
      <c r="I621" s="218" t="str">
        <f>IFERROR(HLOOKUP('Air Source Heat Pump(s)'!D610,'phius_monthly climate data'!$L$3:$CA$83,'phius_monthly climate data'!$CD616,FALSE),"")</f>
        <v/>
      </c>
      <c r="CD621" s="215">
        <v>619</v>
      </c>
    </row>
    <row r="622" spans="1:82" x14ac:dyDescent="0.35">
      <c r="A622" s="211" t="s">
        <v>77</v>
      </c>
      <c r="B622" s="211" t="s">
        <v>35</v>
      </c>
      <c r="C622" s="216" t="s">
        <v>677</v>
      </c>
      <c r="D622" s="222">
        <v>93.9</v>
      </c>
      <c r="E622" s="222">
        <v>26.1</v>
      </c>
      <c r="F622" s="211">
        <v>34</v>
      </c>
      <c r="I622" s="218" t="str">
        <f>IFERROR(HLOOKUP('Air Source Heat Pump(s)'!D611,'phius_monthly climate data'!$L$3:$CA$83,'phius_monthly climate data'!$CD617,FALSE),"")</f>
        <v/>
      </c>
      <c r="CD622" s="215">
        <v>620</v>
      </c>
    </row>
    <row r="623" spans="1:82" x14ac:dyDescent="0.35">
      <c r="A623" s="211" t="s">
        <v>77</v>
      </c>
      <c r="B623" s="211" t="s">
        <v>35</v>
      </c>
      <c r="C623" s="216" t="s">
        <v>678</v>
      </c>
      <c r="D623" s="222">
        <v>94.6</v>
      </c>
      <c r="E623" s="222">
        <v>26.6</v>
      </c>
      <c r="F623" s="211">
        <v>35</v>
      </c>
      <c r="I623" s="218" t="str">
        <f>IFERROR(HLOOKUP('Air Source Heat Pump(s)'!D612,'phius_monthly climate data'!$L$3:$CA$83,'phius_monthly climate data'!$CD618,FALSE),"")</f>
        <v/>
      </c>
      <c r="CD623" s="215">
        <v>621</v>
      </c>
    </row>
    <row r="624" spans="1:82" x14ac:dyDescent="0.35">
      <c r="A624" s="211" t="s">
        <v>77</v>
      </c>
      <c r="B624" s="211" t="s">
        <v>35</v>
      </c>
      <c r="C624" s="216" t="s">
        <v>679</v>
      </c>
      <c r="D624" s="222">
        <v>91.4</v>
      </c>
      <c r="E624" s="222">
        <v>27.7</v>
      </c>
      <c r="F624" s="211">
        <v>30</v>
      </c>
      <c r="I624" s="218" t="str">
        <f>IFERROR(HLOOKUP('Air Source Heat Pump(s)'!D613,'phius_monthly climate data'!$L$3:$CA$83,'phius_monthly climate data'!$CD619,FALSE),"")</f>
        <v/>
      </c>
      <c r="CD624" s="215">
        <v>622</v>
      </c>
    </row>
    <row r="625" spans="1:82" x14ac:dyDescent="0.35">
      <c r="A625" s="211" t="s">
        <v>77</v>
      </c>
      <c r="B625" s="211" t="s">
        <v>35</v>
      </c>
      <c r="C625" s="216" t="s">
        <v>680</v>
      </c>
      <c r="D625" s="222">
        <v>93.8</v>
      </c>
      <c r="E625" s="222">
        <v>23.8</v>
      </c>
      <c r="F625" s="211">
        <v>29</v>
      </c>
      <c r="I625" s="218" t="str">
        <f>IFERROR(HLOOKUP('Air Source Heat Pump(s)'!D614,'phius_monthly climate data'!$L$3:$CA$83,'phius_monthly climate data'!$CD620,FALSE),"")</f>
        <v/>
      </c>
      <c r="CD625" s="215">
        <v>623</v>
      </c>
    </row>
    <row r="626" spans="1:82" x14ac:dyDescent="0.35">
      <c r="A626" s="211" t="s">
        <v>77</v>
      </c>
      <c r="B626" s="211" t="s">
        <v>36</v>
      </c>
      <c r="C626" s="216" t="s">
        <v>681</v>
      </c>
      <c r="D626" s="222">
        <v>91.3</v>
      </c>
      <c r="E626" s="222">
        <v>-3.2</v>
      </c>
      <c r="F626" s="211">
        <v>3</v>
      </c>
      <c r="I626" s="218" t="str">
        <f>IFERROR(HLOOKUP('Air Source Heat Pump(s)'!D615,'phius_monthly climate data'!$L$3:$CA$83,'phius_monthly climate data'!$CD621,FALSE),"")</f>
        <v/>
      </c>
      <c r="CD626" s="215">
        <v>624</v>
      </c>
    </row>
    <row r="627" spans="1:82" x14ac:dyDescent="0.35">
      <c r="A627" s="211" t="s">
        <v>77</v>
      </c>
      <c r="B627" s="211" t="s">
        <v>36</v>
      </c>
      <c r="C627" s="216" t="s">
        <v>682</v>
      </c>
      <c r="D627" s="222">
        <v>88.7</v>
      </c>
      <c r="E627" s="222">
        <v>-7.7</v>
      </c>
      <c r="F627" s="211">
        <v>-7</v>
      </c>
      <c r="I627" s="218" t="str">
        <f>IFERROR(HLOOKUP('Air Source Heat Pump(s)'!D616,'phius_monthly climate data'!$L$3:$CA$83,'phius_monthly climate data'!$CD622,FALSE),"")</f>
        <v/>
      </c>
      <c r="CD627" s="215">
        <v>625</v>
      </c>
    </row>
    <row r="628" spans="1:82" x14ac:dyDescent="0.35">
      <c r="A628" s="211" t="s">
        <v>77</v>
      </c>
      <c r="B628" s="211" t="s">
        <v>36</v>
      </c>
      <c r="C628" s="216" t="s">
        <v>683</v>
      </c>
      <c r="D628" s="222">
        <v>84.7</v>
      </c>
      <c r="E628" s="222">
        <v>-9.1</v>
      </c>
      <c r="F628" s="211">
        <v>6</v>
      </c>
      <c r="I628" s="218" t="str">
        <f>IFERROR(HLOOKUP('Air Source Heat Pump(s)'!D617,'phius_monthly climate data'!$L$3:$CA$83,'phius_monthly climate data'!$CD623,FALSE),"")</f>
        <v/>
      </c>
      <c r="CD628" s="215">
        <v>626</v>
      </c>
    </row>
    <row r="629" spans="1:82" x14ac:dyDescent="0.35">
      <c r="A629" s="211" t="s">
        <v>77</v>
      </c>
      <c r="B629" s="211" t="s">
        <v>36</v>
      </c>
      <c r="C629" s="216" t="s">
        <v>684</v>
      </c>
      <c r="D629" s="222">
        <v>85.3</v>
      </c>
      <c r="E629" s="222">
        <v>-12.3</v>
      </c>
      <c r="F629" s="211">
        <v>-10</v>
      </c>
      <c r="I629" s="218" t="str">
        <f>IFERROR(HLOOKUP('Air Source Heat Pump(s)'!D618,'phius_monthly climate data'!$L$3:$CA$83,'phius_monthly climate data'!$CD624,FALSE),"")</f>
        <v/>
      </c>
      <c r="CD629" s="215">
        <v>627</v>
      </c>
    </row>
    <row r="630" spans="1:82" x14ac:dyDescent="0.35">
      <c r="A630" s="211" t="s">
        <v>77</v>
      </c>
      <c r="B630" s="211" t="s">
        <v>36</v>
      </c>
      <c r="C630" s="216" t="s">
        <v>685</v>
      </c>
      <c r="D630" s="222">
        <v>91</v>
      </c>
      <c r="E630" s="222">
        <v>-15.1</v>
      </c>
      <c r="F630" s="211">
        <v>-14</v>
      </c>
      <c r="I630" s="218" t="str">
        <f>IFERROR(HLOOKUP('Air Source Heat Pump(s)'!D619,'phius_monthly climate data'!$L$3:$CA$83,'phius_monthly climate data'!$CD625,FALSE),"")</f>
        <v/>
      </c>
      <c r="CD630" s="215">
        <v>628</v>
      </c>
    </row>
    <row r="631" spans="1:82" x14ac:dyDescent="0.35">
      <c r="A631" s="211" t="s">
        <v>77</v>
      </c>
      <c r="B631" s="211" t="s">
        <v>36</v>
      </c>
      <c r="C631" s="216" t="s">
        <v>686</v>
      </c>
      <c r="D631" s="222">
        <v>90.8</v>
      </c>
      <c r="E631" s="222">
        <v>-11.1</v>
      </c>
      <c r="F631" s="211">
        <v>-8</v>
      </c>
      <c r="I631" s="218" t="str">
        <f>IFERROR(HLOOKUP('Air Source Heat Pump(s)'!D620,'phius_monthly climate data'!$L$3:$CA$83,'phius_monthly climate data'!$CD626,FALSE),"")</f>
        <v/>
      </c>
      <c r="CD631" s="215">
        <v>629</v>
      </c>
    </row>
    <row r="632" spans="1:82" x14ac:dyDescent="0.35">
      <c r="A632" s="211" t="s">
        <v>77</v>
      </c>
      <c r="B632" s="211" t="s">
        <v>36</v>
      </c>
      <c r="C632" s="216" t="s">
        <v>687</v>
      </c>
      <c r="D632" s="222">
        <v>89.1</v>
      </c>
      <c r="E632" s="222">
        <v>-9.5</v>
      </c>
      <c r="F632" s="211">
        <v>-13</v>
      </c>
      <c r="I632" s="218" t="str">
        <f>IFERROR(HLOOKUP('Air Source Heat Pump(s)'!D621,'phius_monthly climate data'!$L$3:$CA$83,'phius_monthly climate data'!$CD627,FALSE),"")</f>
        <v/>
      </c>
      <c r="CD632" s="215">
        <v>630</v>
      </c>
    </row>
    <row r="633" spans="1:82" x14ac:dyDescent="0.35">
      <c r="A633" s="211" t="s">
        <v>77</v>
      </c>
      <c r="B633" s="211" t="s">
        <v>36</v>
      </c>
      <c r="C633" s="216" t="s">
        <v>688</v>
      </c>
      <c r="D633" s="222">
        <v>91.1</v>
      </c>
      <c r="E633" s="222">
        <v>-15.5</v>
      </c>
      <c r="F633" s="211">
        <v>-9</v>
      </c>
      <c r="I633" s="218" t="str">
        <f>IFERROR(HLOOKUP('Air Source Heat Pump(s)'!D622,'phius_monthly climate data'!$L$3:$CA$83,'phius_monthly climate data'!$CD628,FALSE),"")</f>
        <v/>
      </c>
      <c r="CD633" s="215">
        <v>631</v>
      </c>
    </row>
    <row r="634" spans="1:82" x14ac:dyDescent="0.35">
      <c r="A634" s="211" t="s">
        <v>77</v>
      </c>
      <c r="B634" s="211" t="s">
        <v>36</v>
      </c>
      <c r="C634" s="216" t="s">
        <v>689</v>
      </c>
      <c r="D634" s="222">
        <v>89.8</v>
      </c>
      <c r="E634" s="222">
        <v>-6.3</v>
      </c>
      <c r="F634" s="211">
        <v>4</v>
      </c>
      <c r="I634" s="218" t="str">
        <f>IFERROR(HLOOKUP('Air Source Heat Pump(s)'!D623,'phius_monthly climate data'!$L$3:$CA$83,'phius_monthly climate data'!$CD629,FALSE),"")</f>
        <v/>
      </c>
      <c r="CD634" s="215">
        <v>632</v>
      </c>
    </row>
    <row r="635" spans="1:82" x14ac:dyDescent="0.35">
      <c r="A635" s="211" t="s">
        <v>77</v>
      </c>
      <c r="B635" s="211" t="s">
        <v>36</v>
      </c>
      <c r="C635" s="216" t="s">
        <v>690</v>
      </c>
      <c r="D635" s="222">
        <v>86.7</v>
      </c>
      <c r="E635" s="222">
        <v>1</v>
      </c>
      <c r="F635" s="211">
        <v>8</v>
      </c>
      <c r="I635" s="218" t="str">
        <f>IFERROR(HLOOKUP('Air Source Heat Pump(s)'!D624,'phius_monthly climate data'!$L$3:$CA$83,'phius_monthly climate data'!$CD630,FALSE),"")</f>
        <v/>
      </c>
      <c r="CD635" s="215">
        <v>633</v>
      </c>
    </row>
    <row r="636" spans="1:82" x14ac:dyDescent="0.35">
      <c r="A636" s="211" t="s">
        <v>77</v>
      </c>
      <c r="B636" s="211" t="s">
        <v>36</v>
      </c>
      <c r="C636" s="216" t="s">
        <v>691</v>
      </c>
      <c r="D636" s="222">
        <v>86.5</v>
      </c>
      <c r="E636" s="222">
        <v>-8.6999999999999993</v>
      </c>
      <c r="F636" s="211">
        <v>0</v>
      </c>
      <c r="I636" s="218" t="str">
        <f>IFERROR(HLOOKUP('Air Source Heat Pump(s)'!D625,'phius_monthly climate data'!$L$3:$CA$83,'phius_monthly climate data'!$CD631,FALSE),"")</f>
        <v/>
      </c>
      <c r="CD636" s="215">
        <v>634</v>
      </c>
    </row>
    <row r="637" spans="1:82" x14ac:dyDescent="0.35">
      <c r="A637" s="211" t="s">
        <v>77</v>
      </c>
      <c r="B637" s="211" t="s">
        <v>36</v>
      </c>
      <c r="C637" s="216" t="s">
        <v>692</v>
      </c>
      <c r="D637" s="222">
        <v>90.1</v>
      </c>
      <c r="E637" s="222">
        <v>-2.4</v>
      </c>
      <c r="F637" s="211">
        <v>-5</v>
      </c>
      <c r="I637" s="218" t="str">
        <f>IFERROR(HLOOKUP('Air Source Heat Pump(s)'!D626,'phius_monthly climate data'!$L$3:$CA$83,'phius_monthly climate data'!$CD632,FALSE),"")</f>
        <v/>
      </c>
      <c r="CD637" s="215">
        <v>635</v>
      </c>
    </row>
    <row r="638" spans="1:82" x14ac:dyDescent="0.35">
      <c r="A638" s="211" t="s">
        <v>77</v>
      </c>
      <c r="B638" s="211" t="s">
        <v>36</v>
      </c>
      <c r="C638" s="216" t="s">
        <v>693</v>
      </c>
      <c r="D638" s="222">
        <v>94.3</v>
      </c>
      <c r="E638" s="222">
        <v>-9.5</v>
      </c>
      <c r="F638" s="211">
        <v>-9</v>
      </c>
      <c r="I638" s="218" t="str">
        <f>IFERROR(HLOOKUP('Air Source Heat Pump(s)'!D627,'phius_monthly climate data'!$L$3:$CA$83,'phius_monthly climate data'!$CD633,FALSE),"")</f>
        <v/>
      </c>
      <c r="CD638" s="215">
        <v>636</v>
      </c>
    </row>
    <row r="639" spans="1:82" x14ac:dyDescent="0.35">
      <c r="A639" s="211" t="s">
        <v>77</v>
      </c>
      <c r="B639" s="211" t="s">
        <v>36</v>
      </c>
      <c r="C639" s="216" t="s">
        <v>694</v>
      </c>
      <c r="D639" s="222">
        <v>89.8</v>
      </c>
      <c r="E639" s="222">
        <v>3.3</v>
      </c>
      <c r="F639" s="211">
        <v>16</v>
      </c>
      <c r="I639" s="218" t="str">
        <f>IFERROR(HLOOKUP('Air Source Heat Pump(s)'!D628,'phius_monthly climate data'!$L$3:$CA$83,'phius_monthly climate data'!$CD634,FALSE),"")</f>
        <v/>
      </c>
      <c r="CD639" s="215">
        <v>637</v>
      </c>
    </row>
    <row r="640" spans="1:82" x14ac:dyDescent="0.35">
      <c r="A640" s="211" t="s">
        <v>77</v>
      </c>
      <c r="B640" s="211" t="s">
        <v>36</v>
      </c>
      <c r="C640" s="216" t="s">
        <v>695</v>
      </c>
      <c r="D640" s="222">
        <v>90.4</v>
      </c>
      <c r="E640" s="222">
        <v>-12.7</v>
      </c>
      <c r="F640" s="211">
        <v>-17</v>
      </c>
      <c r="I640" s="218" t="str">
        <f>IFERROR(HLOOKUP('Air Source Heat Pump(s)'!D629,'phius_monthly climate data'!$L$3:$CA$83,'phius_monthly climate data'!$CD635,FALSE),"")</f>
        <v/>
      </c>
      <c r="CD640" s="215">
        <v>638</v>
      </c>
    </row>
    <row r="641" spans="1:82" x14ac:dyDescent="0.35">
      <c r="A641" s="211" t="s">
        <v>77</v>
      </c>
      <c r="B641" s="211" t="s">
        <v>36</v>
      </c>
      <c r="C641" s="216" t="s">
        <v>696</v>
      </c>
      <c r="D641" s="222">
        <v>91.5</v>
      </c>
      <c r="E641" s="222">
        <v>-14.8</v>
      </c>
      <c r="F641" s="211">
        <v>-7</v>
      </c>
      <c r="I641" s="218" t="str">
        <f>IFERROR(HLOOKUP('Air Source Heat Pump(s)'!D630,'phius_monthly climate data'!$L$3:$CA$83,'phius_monthly climate data'!$CD636,FALSE),"")</f>
        <v/>
      </c>
      <c r="CD641" s="215">
        <v>639</v>
      </c>
    </row>
    <row r="642" spans="1:82" x14ac:dyDescent="0.35">
      <c r="A642" s="211" t="s">
        <v>72</v>
      </c>
      <c r="B642" s="211" t="s">
        <v>37</v>
      </c>
      <c r="C642" s="216" t="s">
        <v>697</v>
      </c>
      <c r="D642" s="222">
        <v>83.6</v>
      </c>
      <c r="E642" s="222">
        <v>-2.2000000000000002</v>
      </c>
      <c r="F642" s="211">
        <v>-1</v>
      </c>
      <c r="I642" s="218" t="str">
        <f>IFERROR(HLOOKUP('Air Source Heat Pump(s)'!D631,'phius_monthly climate data'!$L$3:$CA$83,'phius_monthly climate data'!$CD637,FALSE),"")</f>
        <v/>
      </c>
      <c r="CD642" s="215">
        <v>640</v>
      </c>
    </row>
    <row r="643" spans="1:82" x14ac:dyDescent="0.35">
      <c r="A643" s="211" t="s">
        <v>72</v>
      </c>
      <c r="B643" s="211" t="s">
        <v>37</v>
      </c>
      <c r="C643" s="216" t="s">
        <v>698</v>
      </c>
      <c r="D643" s="222">
        <v>80.5</v>
      </c>
      <c r="E643" s="222">
        <v>-3.5</v>
      </c>
      <c r="F643" s="211">
        <v>0</v>
      </c>
      <c r="I643" s="218" t="str">
        <f>IFERROR(HLOOKUP('Air Source Heat Pump(s)'!D632,'phius_monthly climate data'!$L$3:$CA$83,'phius_monthly climate data'!$CD638,FALSE),"")</f>
        <v/>
      </c>
      <c r="CD643" s="215">
        <v>641</v>
      </c>
    </row>
    <row r="644" spans="1:82" x14ac:dyDescent="0.35">
      <c r="A644" s="211" t="s">
        <v>77</v>
      </c>
      <c r="B644" s="211" t="s">
        <v>38</v>
      </c>
      <c r="C644" s="216" t="s">
        <v>699</v>
      </c>
      <c r="D644" s="222">
        <v>85.7</v>
      </c>
      <c r="E644" s="222">
        <v>19.7</v>
      </c>
      <c r="F644" s="211">
        <v>24</v>
      </c>
      <c r="I644" s="218" t="str">
        <f>IFERROR(HLOOKUP('Air Source Heat Pump(s)'!D633,'phius_monthly climate data'!$L$3:$CA$83,'phius_monthly climate data'!$CD639,FALSE),"")</f>
        <v/>
      </c>
      <c r="CD644" s="215">
        <v>642</v>
      </c>
    </row>
    <row r="645" spans="1:82" x14ac:dyDescent="0.35">
      <c r="A645" s="211" t="s">
        <v>77</v>
      </c>
      <c r="B645" s="211" t="s">
        <v>38</v>
      </c>
      <c r="C645" s="216" t="s">
        <v>700</v>
      </c>
      <c r="D645" s="222">
        <v>85</v>
      </c>
      <c r="E645" s="222">
        <v>32.200000000000003</v>
      </c>
      <c r="F645" s="211">
        <v>36</v>
      </c>
      <c r="I645" s="218" t="str">
        <f>IFERROR(HLOOKUP('Air Source Heat Pump(s)'!D634,'phius_monthly climate data'!$L$3:$CA$83,'phius_monthly climate data'!$CD640,FALSE),"")</f>
        <v/>
      </c>
      <c r="CD645" s="215">
        <v>643</v>
      </c>
    </row>
    <row r="646" spans="1:82" x14ac:dyDescent="0.35">
      <c r="A646" s="211" t="s">
        <v>77</v>
      </c>
      <c r="B646" s="211" t="s">
        <v>38</v>
      </c>
      <c r="C646" s="216" t="s">
        <v>701</v>
      </c>
      <c r="D646" s="222">
        <v>91.8</v>
      </c>
      <c r="E646" s="222">
        <v>25.3</v>
      </c>
      <c r="F646" s="211">
        <v>29</v>
      </c>
      <c r="I646" s="218" t="str">
        <f>IFERROR(HLOOKUP('Air Source Heat Pump(s)'!D635,'phius_monthly climate data'!$L$3:$CA$83,'phius_monthly climate data'!$CD641,FALSE),"")</f>
        <v/>
      </c>
      <c r="CD646" s="215">
        <v>644</v>
      </c>
    </row>
    <row r="647" spans="1:82" x14ac:dyDescent="0.35">
      <c r="A647" s="211" t="s">
        <v>77</v>
      </c>
      <c r="B647" s="211" t="s">
        <v>38</v>
      </c>
      <c r="C647" s="216" t="s">
        <v>702</v>
      </c>
      <c r="D647" s="222">
        <v>90.1</v>
      </c>
      <c r="E647" s="222">
        <v>27.5</v>
      </c>
      <c r="F647" s="211">
        <v>24</v>
      </c>
      <c r="I647" s="218" t="str">
        <f>IFERROR(HLOOKUP('Air Source Heat Pump(s)'!D636,'phius_monthly climate data'!$L$3:$CA$83,'phius_monthly climate data'!$CD642,FALSE),"")</f>
        <v/>
      </c>
      <c r="CD647" s="215">
        <v>645</v>
      </c>
    </row>
    <row r="648" spans="1:82" x14ac:dyDescent="0.35">
      <c r="A648" s="211" t="s">
        <v>77</v>
      </c>
      <c r="B648" s="211" t="s">
        <v>38</v>
      </c>
      <c r="C648" s="216" t="s">
        <v>703</v>
      </c>
      <c r="D648" s="222">
        <v>90.2</v>
      </c>
      <c r="E648" s="222">
        <v>29.7</v>
      </c>
      <c r="F648" s="211">
        <v>28</v>
      </c>
      <c r="I648" s="218" t="str">
        <f>IFERROR(HLOOKUP('Air Source Heat Pump(s)'!D637,'phius_monthly climate data'!$L$3:$CA$83,'phius_monthly climate data'!$CD643,FALSE),"")</f>
        <v/>
      </c>
      <c r="CD648" s="215">
        <v>646</v>
      </c>
    </row>
    <row r="649" spans="1:82" x14ac:dyDescent="0.35">
      <c r="A649" s="211" t="s">
        <v>77</v>
      </c>
      <c r="B649" s="211" t="s">
        <v>38</v>
      </c>
      <c r="C649" s="216" t="s">
        <v>704</v>
      </c>
      <c r="D649" s="222">
        <v>90.6</v>
      </c>
      <c r="E649" s="222">
        <v>25.7</v>
      </c>
      <c r="F649" s="211">
        <v>34</v>
      </c>
      <c r="I649" s="218" t="str">
        <f>IFERROR(HLOOKUP('Air Source Heat Pump(s)'!D638,'phius_monthly climate data'!$L$3:$CA$83,'phius_monthly climate data'!$CD644,FALSE),"")</f>
        <v/>
      </c>
      <c r="CD649" s="215">
        <v>647</v>
      </c>
    </row>
    <row r="650" spans="1:82" x14ac:dyDescent="0.35">
      <c r="A650" s="211" t="s">
        <v>77</v>
      </c>
      <c r="B650" s="211" t="s">
        <v>38</v>
      </c>
      <c r="C650" s="216" t="s">
        <v>705</v>
      </c>
      <c r="D650" s="222">
        <v>94.6</v>
      </c>
      <c r="E650" s="222">
        <v>25</v>
      </c>
      <c r="F650" s="211">
        <v>22</v>
      </c>
      <c r="I650" s="218" t="str">
        <f>IFERROR(HLOOKUP('Air Source Heat Pump(s)'!D639,'phius_monthly climate data'!$L$3:$CA$83,'phius_monthly climate data'!$CD645,FALSE),"")</f>
        <v/>
      </c>
      <c r="CD650" s="215">
        <v>648</v>
      </c>
    </row>
    <row r="651" spans="1:82" x14ac:dyDescent="0.35">
      <c r="A651" s="211" t="s">
        <v>77</v>
      </c>
      <c r="B651" s="211" t="s">
        <v>38</v>
      </c>
      <c r="C651" s="216" t="s">
        <v>706</v>
      </c>
      <c r="D651" s="222">
        <v>93.4</v>
      </c>
      <c r="E651" s="222">
        <v>26.7</v>
      </c>
      <c r="F651" s="211">
        <v>21</v>
      </c>
      <c r="I651" s="218" t="str">
        <f>IFERROR(HLOOKUP('Air Source Heat Pump(s)'!D640,'phius_monthly climate data'!$L$3:$CA$83,'phius_monthly climate data'!$CD646,FALSE),"")</f>
        <v/>
      </c>
      <c r="CD651" s="215">
        <v>649</v>
      </c>
    </row>
    <row r="652" spans="1:82" x14ac:dyDescent="0.35">
      <c r="A652" s="211" t="s">
        <v>77</v>
      </c>
      <c r="B652" s="211" t="s">
        <v>38</v>
      </c>
      <c r="C652" s="216" t="s">
        <v>707</v>
      </c>
      <c r="D652" s="222">
        <v>94</v>
      </c>
      <c r="E652" s="222">
        <v>26.2</v>
      </c>
      <c r="F652" s="211">
        <v>22</v>
      </c>
      <c r="I652" s="218" t="str">
        <f>IFERROR(HLOOKUP('Air Source Heat Pump(s)'!D641,'phius_monthly climate data'!$L$3:$CA$83,'phius_monthly climate data'!$CD647,FALSE),"")</f>
        <v/>
      </c>
      <c r="CD652" s="215">
        <v>650</v>
      </c>
    </row>
    <row r="653" spans="1:82" x14ac:dyDescent="0.35">
      <c r="A653" s="211" t="s">
        <v>77</v>
      </c>
      <c r="B653" s="211" t="s">
        <v>38</v>
      </c>
      <c r="C653" s="216" t="s">
        <v>708</v>
      </c>
      <c r="D653" s="222">
        <v>93.7</v>
      </c>
      <c r="E653" s="222">
        <v>26.5</v>
      </c>
      <c r="F653" s="211">
        <v>21</v>
      </c>
      <c r="I653" s="218" t="str">
        <f>IFERROR(HLOOKUP('Air Source Heat Pump(s)'!D642,'phius_monthly climate data'!$L$3:$CA$83,'phius_monthly climate data'!$CD648,FALSE),"")</f>
        <v/>
      </c>
      <c r="CD653" s="215">
        <v>651</v>
      </c>
    </row>
    <row r="654" spans="1:82" x14ac:dyDescent="0.35">
      <c r="A654" s="211" t="s">
        <v>77</v>
      </c>
      <c r="B654" s="211" t="s">
        <v>38</v>
      </c>
      <c r="C654" s="216" t="s">
        <v>709</v>
      </c>
      <c r="D654" s="222">
        <v>90.3</v>
      </c>
      <c r="E654" s="222">
        <v>22.8</v>
      </c>
      <c r="F654" s="211">
        <v>18</v>
      </c>
      <c r="I654" s="218" t="str">
        <f>IFERROR(HLOOKUP('Air Source Heat Pump(s)'!D643,'phius_monthly climate data'!$L$3:$CA$83,'phius_monthly climate data'!$CD649,FALSE),"")</f>
        <v/>
      </c>
      <c r="CD654" s="215">
        <v>652</v>
      </c>
    </row>
    <row r="655" spans="1:82" x14ac:dyDescent="0.35">
      <c r="A655" s="211" t="s">
        <v>77</v>
      </c>
      <c r="B655" s="211" t="s">
        <v>38</v>
      </c>
      <c r="C655" s="216" t="s">
        <v>710</v>
      </c>
      <c r="D655" s="222">
        <v>90</v>
      </c>
      <c r="E655" s="222">
        <v>24</v>
      </c>
      <c r="F655" s="211">
        <v>26</v>
      </c>
      <c r="I655" s="218" t="str">
        <f>IFERROR(HLOOKUP('Air Source Heat Pump(s)'!D644,'phius_monthly climate data'!$L$3:$CA$83,'phius_monthly climate data'!$CD650,FALSE),"")</f>
        <v/>
      </c>
      <c r="CD655" s="215">
        <v>653</v>
      </c>
    </row>
    <row r="656" spans="1:82" x14ac:dyDescent="0.35">
      <c r="A656" s="211" t="s">
        <v>77</v>
      </c>
      <c r="B656" s="211" t="s">
        <v>38</v>
      </c>
      <c r="C656" s="216" t="s">
        <v>711</v>
      </c>
      <c r="D656" s="222">
        <v>91.4</v>
      </c>
      <c r="E656" s="222">
        <v>24.8</v>
      </c>
      <c r="F656" s="211">
        <v>22</v>
      </c>
      <c r="I656" s="218" t="str">
        <f>IFERROR(HLOOKUP('Air Source Heat Pump(s)'!D645,'phius_monthly climate data'!$L$3:$CA$83,'phius_monthly climate data'!$CD651,FALSE),"")</f>
        <v/>
      </c>
      <c r="CD656" s="215">
        <v>654</v>
      </c>
    </row>
    <row r="657" spans="1:82" x14ac:dyDescent="0.35">
      <c r="A657" s="211" t="s">
        <v>77</v>
      </c>
      <c r="B657" s="211" t="s">
        <v>38</v>
      </c>
      <c r="C657" s="216" t="s">
        <v>712</v>
      </c>
      <c r="D657" s="222">
        <v>91.2</v>
      </c>
      <c r="E657" s="222">
        <v>26.7</v>
      </c>
      <c r="F657" s="211">
        <v>35</v>
      </c>
      <c r="I657" s="218" t="str">
        <f>IFERROR(HLOOKUP('Air Source Heat Pump(s)'!D646,'phius_monthly climate data'!$L$3:$CA$83,'phius_monthly climate data'!$CD652,FALSE),"")</f>
        <v/>
      </c>
      <c r="CD657" s="215">
        <v>655</v>
      </c>
    </row>
    <row r="658" spans="1:82" x14ac:dyDescent="0.35">
      <c r="A658" s="211" t="s">
        <v>77</v>
      </c>
      <c r="B658" s="211" t="s">
        <v>38</v>
      </c>
      <c r="C658" s="216" t="s">
        <v>713</v>
      </c>
      <c r="D658" s="222">
        <v>90.7</v>
      </c>
      <c r="E658" s="222">
        <v>26.8</v>
      </c>
      <c r="F658" s="211">
        <v>24</v>
      </c>
      <c r="I658" s="218" t="str">
        <f>IFERROR(HLOOKUP('Air Source Heat Pump(s)'!D647,'phius_monthly climate data'!$L$3:$CA$83,'phius_monthly climate data'!$CD653,FALSE),"")</f>
        <v/>
      </c>
      <c r="CD658" s="215">
        <v>656</v>
      </c>
    </row>
    <row r="659" spans="1:82" x14ac:dyDescent="0.35">
      <c r="A659" s="211" t="s">
        <v>77</v>
      </c>
      <c r="B659" s="211" t="s">
        <v>38</v>
      </c>
      <c r="C659" s="216" t="s">
        <v>714</v>
      </c>
      <c r="D659" s="222">
        <v>92.9</v>
      </c>
      <c r="E659" s="222">
        <v>24.9</v>
      </c>
      <c r="F659" s="211">
        <v>19</v>
      </c>
      <c r="I659" s="218" t="str">
        <f>IFERROR(HLOOKUP('Air Source Heat Pump(s)'!D648,'phius_monthly climate data'!$L$3:$CA$83,'phius_monthly climate data'!$CD654,FALSE),"")</f>
        <v/>
      </c>
      <c r="CD659" s="215">
        <v>657</v>
      </c>
    </row>
    <row r="660" spans="1:82" x14ac:dyDescent="0.35">
      <c r="A660" s="211" t="s">
        <v>77</v>
      </c>
      <c r="B660" s="211" t="s">
        <v>38</v>
      </c>
      <c r="C660" s="216" t="s">
        <v>715</v>
      </c>
      <c r="D660" s="222">
        <v>92.5</v>
      </c>
      <c r="E660" s="222">
        <v>24.2</v>
      </c>
      <c r="F660" s="211">
        <v>31</v>
      </c>
      <c r="I660" s="218" t="str">
        <f>IFERROR(HLOOKUP('Air Source Heat Pump(s)'!D649,'phius_monthly climate data'!$L$3:$CA$83,'phius_monthly climate data'!$CD655,FALSE),"")</f>
        <v/>
      </c>
      <c r="CD660" s="215">
        <v>658</v>
      </c>
    </row>
    <row r="661" spans="1:82" x14ac:dyDescent="0.35">
      <c r="A661" s="211" t="s">
        <v>77</v>
      </c>
      <c r="B661" s="211" t="s">
        <v>38</v>
      </c>
      <c r="C661" s="216" t="s">
        <v>716</v>
      </c>
      <c r="D661" s="222">
        <v>92.1</v>
      </c>
      <c r="E661" s="222">
        <v>23.6</v>
      </c>
      <c r="F661" s="211">
        <v>30</v>
      </c>
      <c r="I661" s="218" t="str">
        <f>IFERROR(HLOOKUP('Air Source Heat Pump(s)'!D650,'phius_monthly climate data'!$L$3:$CA$83,'phius_monthly climate data'!$CD656,FALSE),"")</f>
        <v/>
      </c>
      <c r="CD661" s="215">
        <v>659</v>
      </c>
    </row>
    <row r="662" spans="1:82" x14ac:dyDescent="0.35">
      <c r="A662" s="211" t="s">
        <v>77</v>
      </c>
      <c r="B662" s="211" t="s">
        <v>38</v>
      </c>
      <c r="C662" s="216" t="s">
        <v>717</v>
      </c>
      <c r="D662" s="222">
        <v>92.6</v>
      </c>
      <c r="E662" s="222">
        <v>23</v>
      </c>
      <c r="F662" s="211">
        <v>20</v>
      </c>
      <c r="I662" s="218" t="str">
        <f>IFERROR(HLOOKUP('Air Source Heat Pump(s)'!D651,'phius_monthly climate data'!$L$3:$CA$83,'phius_monthly climate data'!$CD657,FALSE),"")</f>
        <v/>
      </c>
      <c r="CD662" s="215">
        <v>660</v>
      </c>
    </row>
    <row r="663" spans="1:82" x14ac:dyDescent="0.35">
      <c r="A663" s="211" t="s">
        <v>77</v>
      </c>
      <c r="B663" s="211" t="s">
        <v>38</v>
      </c>
      <c r="C663" s="216" t="s">
        <v>718</v>
      </c>
      <c r="D663" s="222">
        <v>91.2</v>
      </c>
      <c r="E663" s="222">
        <v>27.9</v>
      </c>
      <c r="F663" s="211">
        <v>33</v>
      </c>
      <c r="I663" s="218" t="str">
        <f>IFERROR(HLOOKUP('Air Source Heat Pump(s)'!D652,'phius_monthly climate data'!$L$3:$CA$83,'phius_monthly climate data'!$CD658,FALSE),"")</f>
        <v/>
      </c>
      <c r="CD663" s="215">
        <v>661</v>
      </c>
    </row>
    <row r="664" spans="1:82" x14ac:dyDescent="0.35">
      <c r="A664" s="211" t="s">
        <v>77</v>
      </c>
      <c r="B664" s="211" t="s">
        <v>38</v>
      </c>
      <c r="C664" s="216" t="s">
        <v>719</v>
      </c>
      <c r="D664" s="222">
        <v>90.2</v>
      </c>
      <c r="E664" s="222">
        <v>24.4</v>
      </c>
      <c r="F664" s="211">
        <v>27</v>
      </c>
      <c r="I664" s="218" t="str">
        <f>IFERROR(HLOOKUP('Air Source Heat Pump(s)'!D653,'phius_monthly climate data'!$L$3:$CA$83,'phius_monthly climate data'!$CD659,FALSE),"")</f>
        <v/>
      </c>
      <c r="CD664" s="215">
        <v>662</v>
      </c>
    </row>
    <row r="665" spans="1:82" x14ac:dyDescent="0.35">
      <c r="A665" s="211" t="s">
        <v>77</v>
      </c>
      <c r="B665" s="211" t="s">
        <v>39</v>
      </c>
      <c r="C665" s="216" t="s">
        <v>720</v>
      </c>
      <c r="D665" s="222">
        <v>89.4</v>
      </c>
      <c r="E665" s="222">
        <v>-12.2</v>
      </c>
      <c r="F665" s="211">
        <v>-8</v>
      </c>
      <c r="I665" s="218" t="str">
        <f>IFERROR(HLOOKUP('Air Source Heat Pump(s)'!D654,'phius_monthly climate data'!$L$3:$CA$83,'phius_monthly climate data'!$CD660,FALSE),"")</f>
        <v/>
      </c>
      <c r="CD665" s="215">
        <v>663</v>
      </c>
    </row>
    <row r="666" spans="1:82" x14ac:dyDescent="0.35">
      <c r="A666" s="211" t="s">
        <v>77</v>
      </c>
      <c r="B666" s="211" t="s">
        <v>39</v>
      </c>
      <c r="C666" s="216" t="s">
        <v>721</v>
      </c>
      <c r="D666" s="222">
        <v>82.3</v>
      </c>
      <c r="E666" s="222">
        <v>-17</v>
      </c>
      <c r="F666" s="211">
        <v>-11</v>
      </c>
      <c r="I666" s="218" t="str">
        <f>IFERROR(HLOOKUP('Air Source Heat Pump(s)'!D655,'phius_monthly climate data'!$L$3:$CA$83,'phius_monthly climate data'!$CD661,FALSE),"")</f>
        <v/>
      </c>
      <c r="CD666" s="215">
        <v>664</v>
      </c>
    </row>
    <row r="667" spans="1:82" x14ac:dyDescent="0.35">
      <c r="A667" s="211" t="s">
        <v>77</v>
      </c>
      <c r="B667" s="211" t="s">
        <v>39</v>
      </c>
      <c r="C667" s="216" t="s">
        <v>722</v>
      </c>
      <c r="D667" s="222">
        <v>89.5</v>
      </c>
      <c r="E667" s="222">
        <v>-11.4</v>
      </c>
      <c r="F667" s="211">
        <v>-15</v>
      </c>
      <c r="I667" s="218" t="str">
        <f>IFERROR(HLOOKUP('Air Source Heat Pump(s)'!D656,'phius_monthly climate data'!$L$3:$CA$83,'phius_monthly climate data'!$CD662,FALSE),"")</f>
        <v/>
      </c>
      <c r="CD667" s="215">
        <v>665</v>
      </c>
    </row>
    <row r="668" spans="1:82" x14ac:dyDescent="0.35">
      <c r="A668" s="211" t="s">
        <v>77</v>
      </c>
      <c r="B668" s="211" t="s">
        <v>39</v>
      </c>
      <c r="C668" s="216" t="s">
        <v>723</v>
      </c>
      <c r="D668" s="222">
        <v>87</v>
      </c>
      <c r="E668" s="222">
        <v>-13.9</v>
      </c>
      <c r="F668" s="211">
        <v>-14</v>
      </c>
      <c r="I668" s="218" t="str">
        <f>IFERROR(HLOOKUP('Air Source Heat Pump(s)'!D657,'phius_monthly climate data'!$L$3:$CA$83,'phius_monthly climate data'!$CD663,FALSE),"")</f>
        <v/>
      </c>
      <c r="CD668" s="215">
        <v>666</v>
      </c>
    </row>
    <row r="669" spans="1:82" x14ac:dyDescent="0.35">
      <c r="A669" s="211" t="s">
        <v>77</v>
      </c>
      <c r="B669" s="211" t="s">
        <v>39</v>
      </c>
      <c r="C669" s="216" t="s">
        <v>724</v>
      </c>
      <c r="D669" s="222">
        <v>85.9</v>
      </c>
      <c r="E669" s="222">
        <v>-16.600000000000001</v>
      </c>
      <c r="F669" s="211">
        <v>-1</v>
      </c>
      <c r="I669" s="218" t="str">
        <f>IFERROR(HLOOKUP('Air Source Heat Pump(s)'!D658,'phius_monthly climate data'!$L$3:$CA$83,'phius_monthly climate data'!$CD664,FALSE),"")</f>
        <v/>
      </c>
      <c r="CD669" s="215">
        <v>667</v>
      </c>
    </row>
    <row r="670" spans="1:82" x14ac:dyDescent="0.35">
      <c r="A670" s="211" t="s">
        <v>77</v>
      </c>
      <c r="B670" s="211" t="s">
        <v>39</v>
      </c>
      <c r="C670" s="216" t="s">
        <v>725</v>
      </c>
      <c r="D670" s="222">
        <v>85.9</v>
      </c>
      <c r="E670" s="222">
        <v>-16.600000000000001</v>
      </c>
      <c r="F670" s="211">
        <v>-16</v>
      </c>
      <c r="I670" s="218" t="str">
        <f>IFERROR(HLOOKUP('Air Source Heat Pump(s)'!D659,'phius_monthly climate data'!$L$3:$CA$83,'phius_monthly climate data'!$CD665,FALSE),"")</f>
        <v/>
      </c>
      <c r="CD670" s="215">
        <v>668</v>
      </c>
    </row>
    <row r="671" spans="1:82" x14ac:dyDescent="0.35">
      <c r="A671" s="211" t="s">
        <v>77</v>
      </c>
      <c r="B671" s="211" t="s">
        <v>39</v>
      </c>
      <c r="C671" s="216" t="s">
        <v>726</v>
      </c>
      <c r="D671" s="222">
        <v>86.3</v>
      </c>
      <c r="E671" s="222">
        <v>-13.4</v>
      </c>
      <c r="F671" s="211">
        <v>-22</v>
      </c>
      <c r="I671" s="218" t="str">
        <f>IFERROR(HLOOKUP('Air Source Heat Pump(s)'!D660,'phius_monthly climate data'!$L$3:$CA$83,'phius_monthly climate data'!$CD666,FALSE),"")</f>
        <v/>
      </c>
      <c r="CD671" s="215">
        <v>669</v>
      </c>
    </row>
    <row r="672" spans="1:82" x14ac:dyDescent="0.35">
      <c r="A672" s="211" t="s">
        <v>77</v>
      </c>
      <c r="B672" s="211" t="s">
        <v>39</v>
      </c>
      <c r="C672" s="216" t="s">
        <v>727</v>
      </c>
      <c r="D672" s="222">
        <v>87</v>
      </c>
      <c r="E672" s="222">
        <v>-17.3</v>
      </c>
      <c r="F672" s="211">
        <v>-6</v>
      </c>
      <c r="I672" s="218" t="str">
        <f>IFERROR(HLOOKUP('Air Source Heat Pump(s)'!D661,'phius_monthly climate data'!$L$3:$CA$83,'phius_monthly climate data'!$CD667,FALSE),"")</f>
        <v/>
      </c>
      <c r="CD672" s="215">
        <v>670</v>
      </c>
    </row>
    <row r="673" spans="1:82" x14ac:dyDescent="0.35">
      <c r="A673" s="211" t="s">
        <v>77</v>
      </c>
      <c r="B673" s="211" t="s">
        <v>39</v>
      </c>
      <c r="C673" s="216" t="s">
        <v>728</v>
      </c>
      <c r="D673" s="222">
        <v>86.9</v>
      </c>
      <c r="E673" s="222">
        <v>-13.2</v>
      </c>
      <c r="F673" s="211">
        <v>-10</v>
      </c>
      <c r="I673" s="218" t="str">
        <f>IFERROR(HLOOKUP('Air Source Heat Pump(s)'!D662,'phius_monthly climate data'!$L$3:$CA$83,'phius_monthly climate data'!$CD668,FALSE),"")</f>
        <v/>
      </c>
      <c r="CD673" s="215">
        <v>671</v>
      </c>
    </row>
    <row r="674" spans="1:82" x14ac:dyDescent="0.35">
      <c r="A674" s="211" t="s">
        <v>77</v>
      </c>
      <c r="B674" s="211" t="s">
        <v>39</v>
      </c>
      <c r="C674" s="216" t="s">
        <v>729</v>
      </c>
      <c r="D674" s="222">
        <v>89.7</v>
      </c>
      <c r="E674" s="222">
        <v>-16.3</v>
      </c>
      <c r="F674" s="211">
        <v>-4</v>
      </c>
      <c r="I674" s="218" t="str">
        <f>IFERROR(HLOOKUP('Air Source Heat Pump(s)'!D663,'phius_monthly climate data'!$L$3:$CA$83,'phius_monthly climate data'!$CD669,FALSE),"")</f>
        <v/>
      </c>
      <c r="CD674" s="215">
        <v>672</v>
      </c>
    </row>
    <row r="675" spans="1:82" x14ac:dyDescent="0.35">
      <c r="A675" s="211" t="s">
        <v>77</v>
      </c>
      <c r="B675" s="211" t="s">
        <v>40</v>
      </c>
      <c r="C675" s="216" t="s">
        <v>730</v>
      </c>
      <c r="D675" s="222">
        <v>91.2</v>
      </c>
      <c r="E675" s="222">
        <v>-0.4</v>
      </c>
      <c r="F675" s="211">
        <v>7</v>
      </c>
      <c r="I675" s="218" t="str">
        <f>IFERROR(HLOOKUP('Air Source Heat Pump(s)'!D664,'phius_monthly climate data'!$L$3:$CA$83,'phius_monthly climate data'!$CD670,FALSE),"")</f>
        <v/>
      </c>
      <c r="CD675" s="215">
        <v>673</v>
      </c>
    </row>
    <row r="676" spans="1:82" x14ac:dyDescent="0.35">
      <c r="A676" s="211" t="s">
        <v>77</v>
      </c>
      <c r="B676" s="211" t="s">
        <v>40</v>
      </c>
      <c r="C676" s="216" t="s">
        <v>731</v>
      </c>
      <c r="D676" s="222">
        <v>93.5</v>
      </c>
      <c r="E676" s="222">
        <v>-1.6</v>
      </c>
      <c r="F676" s="211">
        <v>-8</v>
      </c>
      <c r="I676" s="218" t="str">
        <f>IFERROR(HLOOKUP('Air Source Heat Pump(s)'!D665,'phius_monthly climate data'!$L$3:$CA$83,'phius_monthly climate data'!$CD671,FALSE),"")</f>
        <v/>
      </c>
      <c r="CD676" s="215">
        <v>674</v>
      </c>
    </row>
    <row r="677" spans="1:82" x14ac:dyDescent="0.35">
      <c r="A677" s="211" t="s">
        <v>77</v>
      </c>
      <c r="B677" s="211" t="s">
        <v>40</v>
      </c>
      <c r="C677" s="216" t="s">
        <v>732</v>
      </c>
      <c r="D677" s="222">
        <v>93.2</v>
      </c>
      <c r="E677" s="222">
        <v>3.1</v>
      </c>
      <c r="F677" s="211">
        <v>11</v>
      </c>
      <c r="I677" s="218" t="str">
        <f>IFERROR(HLOOKUP('Air Source Heat Pump(s)'!D666,'phius_monthly climate data'!$L$3:$CA$83,'phius_monthly climate data'!$CD672,FALSE),"")</f>
        <v/>
      </c>
      <c r="CD677" s="215">
        <v>675</v>
      </c>
    </row>
    <row r="678" spans="1:82" x14ac:dyDescent="0.35">
      <c r="A678" s="211" t="s">
        <v>77</v>
      </c>
      <c r="B678" s="211" t="s">
        <v>40</v>
      </c>
      <c r="C678" s="216" t="s">
        <v>733</v>
      </c>
      <c r="D678" s="222">
        <v>91.4</v>
      </c>
      <c r="E678" s="222">
        <v>1.7</v>
      </c>
      <c r="F678" s="211">
        <v>0</v>
      </c>
      <c r="I678" s="218" t="str">
        <f>IFERROR(HLOOKUP('Air Source Heat Pump(s)'!D667,'phius_monthly climate data'!$L$3:$CA$83,'phius_monthly climate data'!$CD673,FALSE),"")</f>
        <v/>
      </c>
      <c r="CD678" s="215">
        <v>676</v>
      </c>
    </row>
    <row r="679" spans="1:82" x14ac:dyDescent="0.35">
      <c r="A679" s="211" t="s">
        <v>77</v>
      </c>
      <c r="B679" s="211" t="s">
        <v>40</v>
      </c>
      <c r="C679" s="216" t="s">
        <v>734</v>
      </c>
      <c r="D679" s="222">
        <v>91.5</v>
      </c>
      <c r="E679" s="222">
        <v>4.8</v>
      </c>
      <c r="F679" s="211">
        <v>6</v>
      </c>
      <c r="CD679" s="215">
        <v>677</v>
      </c>
    </row>
    <row r="680" spans="1:82" x14ac:dyDescent="0.35">
      <c r="A680" s="211" t="s">
        <v>77</v>
      </c>
      <c r="B680" s="211" t="s">
        <v>40</v>
      </c>
      <c r="C680" s="216" t="s">
        <v>735</v>
      </c>
      <c r="D680" s="222">
        <v>91.2</v>
      </c>
      <c r="E680" s="222">
        <v>1.1000000000000001</v>
      </c>
      <c r="F680" s="211">
        <v>-4</v>
      </c>
      <c r="I680" s="218" t="str">
        <f>IFERROR(HLOOKUP('Air Source Heat Pump(s)'!D668,'phius_monthly climate data'!$L$3:$CA$83,'phius_monthly climate data'!$CD675,FALSE),"")</f>
        <v/>
      </c>
      <c r="CD680" s="215">
        <v>678</v>
      </c>
    </row>
    <row r="681" spans="1:82" x14ac:dyDescent="0.35">
      <c r="A681" s="211" t="s">
        <v>77</v>
      </c>
      <c r="B681" s="211" t="s">
        <v>40</v>
      </c>
      <c r="C681" s="216" t="s">
        <v>1215</v>
      </c>
      <c r="D681" s="222">
        <v>95.7</v>
      </c>
      <c r="E681" s="222">
        <v>-1.8</v>
      </c>
      <c r="F681" s="211">
        <v>-4.18</v>
      </c>
      <c r="I681" s="218" t="str">
        <f>IFERROR(HLOOKUP('Air Source Heat Pump(s)'!D669,'phius_monthly climate data'!$L$3:$CA$83,'phius_monthly climate data'!$CD676,FALSE),"")</f>
        <v/>
      </c>
      <c r="CD681" s="215">
        <v>679</v>
      </c>
    </row>
    <row r="682" spans="1:82" x14ac:dyDescent="0.35">
      <c r="A682" s="211" t="s">
        <v>77</v>
      </c>
      <c r="B682" s="211" t="s">
        <v>40</v>
      </c>
      <c r="C682" s="216" t="s">
        <v>736</v>
      </c>
      <c r="D682" s="222">
        <v>90.7</v>
      </c>
      <c r="E682" s="222">
        <v>-0.1</v>
      </c>
      <c r="F682" s="211">
        <v>-2</v>
      </c>
      <c r="I682" s="218" t="str">
        <f>IFERROR(HLOOKUP('Air Source Heat Pump(s)'!D670,'phius_monthly climate data'!$L$3:$CA$83,'phius_monthly climate data'!$CD677,FALSE),"")</f>
        <v/>
      </c>
      <c r="CD682" s="215">
        <v>680</v>
      </c>
    </row>
    <row r="683" spans="1:82" x14ac:dyDescent="0.35">
      <c r="A683" s="211" t="s">
        <v>77</v>
      </c>
      <c r="B683" s="211" t="s">
        <v>40</v>
      </c>
      <c r="C683" s="216" t="s">
        <v>737</v>
      </c>
      <c r="D683" s="222">
        <v>92.5</v>
      </c>
      <c r="E683" s="222">
        <v>3.8</v>
      </c>
      <c r="F683" s="211">
        <v>6</v>
      </c>
      <c r="I683" s="218" t="str">
        <f>IFERROR(HLOOKUP('Air Source Heat Pump(s)'!D671,'phius_monthly climate data'!$L$3:$CA$83,'phius_monthly climate data'!$CD678,FALSE),"")</f>
        <v/>
      </c>
      <c r="CD683" s="215">
        <v>681</v>
      </c>
    </row>
    <row r="684" spans="1:82" x14ac:dyDescent="0.35">
      <c r="A684" s="211" t="s">
        <v>77</v>
      </c>
      <c r="B684" s="211" t="s">
        <v>40</v>
      </c>
      <c r="C684" s="216" t="s">
        <v>738</v>
      </c>
      <c r="D684" s="222">
        <v>90.8</v>
      </c>
      <c r="E684" s="222">
        <v>1</v>
      </c>
      <c r="F684" s="211">
        <v>3</v>
      </c>
      <c r="I684" s="218" t="str">
        <f>IFERROR(HLOOKUP('Air Source Heat Pump(s)'!D672,'phius_monthly climate data'!$L$3:$CA$83,'phius_monthly climate data'!$CD679,FALSE),"")</f>
        <v/>
      </c>
      <c r="CD684" s="215">
        <v>682</v>
      </c>
    </row>
    <row r="685" spans="1:82" x14ac:dyDescent="0.35">
      <c r="A685" s="211" t="s">
        <v>77</v>
      </c>
      <c r="B685" s="211" t="s">
        <v>40</v>
      </c>
      <c r="C685" s="216" t="s">
        <v>739</v>
      </c>
      <c r="D685" s="222">
        <v>92.4</v>
      </c>
      <c r="E685" s="222">
        <v>1.9</v>
      </c>
      <c r="F685" s="211">
        <v>3</v>
      </c>
      <c r="CD685" s="215">
        <v>683</v>
      </c>
    </row>
    <row r="686" spans="1:82" x14ac:dyDescent="0.35">
      <c r="A686" s="211" t="s">
        <v>77</v>
      </c>
      <c r="B686" s="211" t="s">
        <v>40</v>
      </c>
      <c r="C686" s="216" t="s">
        <v>740</v>
      </c>
      <c r="D686" s="222">
        <v>92.4</v>
      </c>
      <c r="E686" s="222">
        <v>2.5</v>
      </c>
      <c r="F686" s="211">
        <v>7</v>
      </c>
      <c r="I686" s="218" t="str">
        <f>IFERROR(HLOOKUP('Air Source Heat Pump(s)'!D673,'phius_monthly climate data'!$L$3:$CA$83,'phius_monthly climate data'!$CD681,FALSE),"")</f>
        <v/>
      </c>
      <c r="CD686" s="215">
        <v>684</v>
      </c>
    </row>
    <row r="687" spans="1:82" x14ac:dyDescent="0.35">
      <c r="A687" s="211" t="s">
        <v>77</v>
      </c>
      <c r="B687" s="211" t="s">
        <v>40</v>
      </c>
      <c r="C687" s="216" t="s">
        <v>1216</v>
      </c>
      <c r="D687" s="222">
        <v>96.2</v>
      </c>
      <c r="E687" s="222">
        <v>4.8</v>
      </c>
      <c r="F687" s="211">
        <v>12.2</v>
      </c>
      <c r="I687" s="218" t="str">
        <f>IFERROR(HLOOKUP('Air Source Heat Pump(s)'!D674,'phius_monthly climate data'!$L$3:$CA$83,'phius_monthly climate data'!$CD682,FALSE),"")</f>
        <v/>
      </c>
      <c r="CD687" s="215">
        <v>685</v>
      </c>
    </row>
    <row r="688" spans="1:82" x14ac:dyDescent="0.35">
      <c r="A688" s="211" t="s">
        <v>77</v>
      </c>
      <c r="B688" s="211" t="s">
        <v>40</v>
      </c>
      <c r="C688" s="216" t="s">
        <v>741</v>
      </c>
      <c r="D688" s="222">
        <v>90.9</v>
      </c>
      <c r="E688" s="222">
        <v>2.6</v>
      </c>
      <c r="F688" s="211">
        <v>11</v>
      </c>
      <c r="I688" s="218" t="str">
        <f>IFERROR(HLOOKUP('Air Source Heat Pump(s)'!D675,'phius_monthly climate data'!$L$3:$CA$83,'phius_monthly climate data'!$CD683,FALSE),"")</f>
        <v/>
      </c>
      <c r="CD688" s="215">
        <v>686</v>
      </c>
    </row>
    <row r="689" spans="1:82" x14ac:dyDescent="0.35">
      <c r="A689" s="211" t="s">
        <v>77</v>
      </c>
      <c r="B689" s="211" t="s">
        <v>40</v>
      </c>
      <c r="C689" s="216" t="s">
        <v>742</v>
      </c>
      <c r="D689" s="222">
        <v>93.3</v>
      </c>
      <c r="E689" s="222">
        <v>2</v>
      </c>
      <c r="F689" s="211">
        <v>5</v>
      </c>
      <c r="I689" s="218" t="str">
        <f>IFERROR(HLOOKUP('Air Source Heat Pump(s)'!D676,'phius_monthly climate data'!$L$3:$CA$83,'phius_monthly climate data'!$CD684,FALSE),"")</f>
        <v/>
      </c>
      <c r="CD689" s="215">
        <v>687</v>
      </c>
    </row>
    <row r="690" spans="1:82" x14ac:dyDescent="0.35">
      <c r="A690" s="211" t="s">
        <v>77</v>
      </c>
      <c r="B690" s="211" t="s">
        <v>40</v>
      </c>
      <c r="C690" s="216" t="s">
        <v>743</v>
      </c>
      <c r="D690" s="222">
        <v>97.3</v>
      </c>
      <c r="E690" s="222">
        <v>5.0999999999999996</v>
      </c>
      <c r="F690" s="211">
        <v>7</v>
      </c>
      <c r="I690" s="218" t="str">
        <f>IFERROR(HLOOKUP('Air Source Heat Pump(s)'!D677,'phius_monthly climate data'!$L$3:$CA$83,'phius_monthly climate data'!$CD685,FALSE),"")</f>
        <v/>
      </c>
      <c r="CD690" s="215">
        <v>688</v>
      </c>
    </row>
    <row r="691" spans="1:82" x14ac:dyDescent="0.35">
      <c r="A691" s="211" t="s">
        <v>77</v>
      </c>
      <c r="B691" s="211" t="s">
        <v>40</v>
      </c>
      <c r="C691" s="216" t="s">
        <v>744</v>
      </c>
      <c r="D691" s="222">
        <v>91.1</v>
      </c>
      <c r="E691" s="222">
        <v>-0.6</v>
      </c>
      <c r="F691" s="211">
        <v>1</v>
      </c>
      <c r="I691" s="218" t="str">
        <f>IFERROR(HLOOKUP('Air Source Heat Pump(s)'!D678,'phius_monthly climate data'!$L$3:$CA$83,'phius_monthly climate data'!$CD686,FALSE),"")</f>
        <v/>
      </c>
      <c r="CD691" s="215">
        <v>689</v>
      </c>
    </row>
    <row r="692" spans="1:82" x14ac:dyDescent="0.35">
      <c r="A692" s="211" t="s">
        <v>77</v>
      </c>
      <c r="B692" s="211" t="s">
        <v>40</v>
      </c>
      <c r="C692" s="216" t="s">
        <v>745</v>
      </c>
      <c r="D692" s="222">
        <v>93</v>
      </c>
      <c r="E692" s="222">
        <v>1.1000000000000001</v>
      </c>
      <c r="F692" s="211">
        <v>9</v>
      </c>
      <c r="I692" s="218" t="str">
        <f>IFERROR(HLOOKUP('Air Source Heat Pump(s)'!D679,'phius_monthly climate data'!$L$3:$CA$83,'phius_monthly climate data'!$CD687,FALSE),"")</f>
        <v/>
      </c>
      <c r="CD692" s="215">
        <v>690</v>
      </c>
    </row>
    <row r="693" spans="1:82" x14ac:dyDescent="0.35">
      <c r="A693" s="211" t="s">
        <v>77</v>
      </c>
      <c r="B693" s="211" t="s">
        <v>40</v>
      </c>
      <c r="C693" s="216" t="s">
        <v>746</v>
      </c>
      <c r="D693" s="222">
        <v>91.8</v>
      </c>
      <c r="E693" s="222">
        <v>1.4</v>
      </c>
      <c r="F693" s="211">
        <v>7</v>
      </c>
      <c r="CD693" s="215">
        <v>691</v>
      </c>
    </row>
    <row r="694" spans="1:82" x14ac:dyDescent="0.35">
      <c r="A694" s="211" t="s">
        <v>77</v>
      </c>
      <c r="B694" s="211" t="s">
        <v>40</v>
      </c>
      <c r="C694" s="216" t="s">
        <v>747</v>
      </c>
      <c r="D694" s="222">
        <v>90.9</v>
      </c>
      <c r="E694" s="222">
        <v>-0.1</v>
      </c>
      <c r="F694" s="211">
        <v>3</v>
      </c>
      <c r="CD694" s="215">
        <v>692</v>
      </c>
    </row>
    <row r="695" spans="1:82" x14ac:dyDescent="0.35">
      <c r="A695" s="211" t="s">
        <v>77</v>
      </c>
      <c r="B695" s="211" t="s">
        <v>40</v>
      </c>
      <c r="C695" s="216" t="s">
        <v>1217</v>
      </c>
      <c r="D695" s="222">
        <v>90.8</v>
      </c>
      <c r="E695" s="222">
        <v>-0.7</v>
      </c>
      <c r="F695" s="211">
        <v>-3.1</v>
      </c>
      <c r="I695" s="218" t="str">
        <f>IFERROR(HLOOKUP('Air Source Heat Pump(s)'!D680,'phius_monthly climate data'!$L$3:$CA$83,'phius_monthly climate data'!$CD690,FALSE),"")</f>
        <v/>
      </c>
      <c r="CD695" s="215">
        <v>693</v>
      </c>
    </row>
    <row r="696" spans="1:82" x14ac:dyDescent="0.35">
      <c r="A696" s="211" t="s">
        <v>77</v>
      </c>
      <c r="B696" s="211" t="s">
        <v>40</v>
      </c>
      <c r="C696" s="216" t="s">
        <v>1218</v>
      </c>
      <c r="D696" s="222">
        <v>91.3</v>
      </c>
      <c r="E696" s="222">
        <v>0.6</v>
      </c>
      <c r="F696" s="211">
        <v>4.46</v>
      </c>
      <c r="I696" s="218" t="str">
        <f>IFERROR(HLOOKUP('Air Source Heat Pump(s)'!D681,'phius_monthly climate data'!$L$3:$CA$83,'phius_monthly climate data'!$CD691,FALSE),"")</f>
        <v/>
      </c>
      <c r="CD696" s="215">
        <v>694</v>
      </c>
    </row>
    <row r="697" spans="1:82" x14ac:dyDescent="0.35">
      <c r="A697" s="211" t="s">
        <v>77</v>
      </c>
      <c r="B697" s="211" t="s">
        <v>40</v>
      </c>
      <c r="C697" s="216" t="s">
        <v>748</v>
      </c>
      <c r="D697" s="222">
        <v>93.5</v>
      </c>
      <c r="E697" s="222">
        <v>1</v>
      </c>
      <c r="F697" s="211">
        <v>4</v>
      </c>
      <c r="I697" s="218" t="str">
        <f>IFERROR(HLOOKUP('Air Source Heat Pump(s)'!D682,'phius_monthly climate data'!$L$3:$CA$83,'phius_monthly climate data'!$CD692,FALSE),"")</f>
        <v/>
      </c>
      <c r="CD697" s="215">
        <v>695</v>
      </c>
    </row>
    <row r="698" spans="1:82" x14ac:dyDescent="0.35">
      <c r="A698" s="211" t="s">
        <v>77</v>
      </c>
      <c r="B698" s="211" t="s">
        <v>40</v>
      </c>
      <c r="C698" s="216" t="s">
        <v>749</v>
      </c>
      <c r="D698" s="222">
        <v>93.5</v>
      </c>
      <c r="E698" s="222">
        <v>2.2000000000000002</v>
      </c>
      <c r="F698" s="211">
        <v>-4</v>
      </c>
      <c r="I698" s="218" t="str">
        <f>IFERROR(HLOOKUP('Air Source Heat Pump(s)'!D683,'phius_monthly climate data'!$L$3:$CA$83,'phius_monthly climate data'!$CD693,FALSE),"")</f>
        <v/>
      </c>
      <c r="CD698" s="215">
        <v>696</v>
      </c>
    </row>
    <row r="699" spans="1:82" x14ac:dyDescent="0.35">
      <c r="A699" s="211" t="s">
        <v>77</v>
      </c>
      <c r="B699" s="211" t="s">
        <v>40</v>
      </c>
      <c r="C699" s="216" t="s">
        <v>750</v>
      </c>
      <c r="D699" s="222">
        <v>91.1</v>
      </c>
      <c r="E699" s="222">
        <v>-0.9</v>
      </c>
      <c r="F699" s="211">
        <v>-2</v>
      </c>
      <c r="I699" s="218" t="str">
        <f>IFERROR(HLOOKUP('Air Source Heat Pump(s)'!D684,'phius_monthly climate data'!$L$3:$CA$83,'phius_monthly climate data'!$CD694,FALSE),"")</f>
        <v/>
      </c>
      <c r="CD699" s="215">
        <v>697</v>
      </c>
    </row>
    <row r="700" spans="1:82" x14ac:dyDescent="0.35">
      <c r="A700" s="211" t="s">
        <v>77</v>
      </c>
      <c r="B700" s="211" t="s">
        <v>40</v>
      </c>
      <c r="C700" s="216" t="s">
        <v>751</v>
      </c>
      <c r="D700" s="222">
        <v>93.9</v>
      </c>
      <c r="E700" s="222">
        <v>-3.7</v>
      </c>
      <c r="F700" s="211">
        <v>2</v>
      </c>
      <c r="I700" s="218" t="str">
        <f>IFERROR(HLOOKUP('Air Source Heat Pump(s)'!D685,'phius_monthly climate data'!$L$3:$CA$83,'phius_monthly climate data'!$CD695,FALSE),"")</f>
        <v/>
      </c>
      <c r="CD700" s="215">
        <v>698</v>
      </c>
    </row>
    <row r="701" spans="1:82" x14ac:dyDescent="0.35">
      <c r="A701" s="211" t="s">
        <v>77</v>
      </c>
      <c r="B701" s="211" t="s">
        <v>41</v>
      </c>
      <c r="C701" s="216" t="s">
        <v>752</v>
      </c>
      <c r="D701" s="222">
        <v>73.900000000000006</v>
      </c>
      <c r="E701" s="222">
        <v>8.6</v>
      </c>
      <c r="F701" s="211">
        <v>15</v>
      </c>
      <c r="I701" s="218" t="str">
        <f>IFERROR(HLOOKUP('Air Source Heat Pump(s)'!D686,'phius_monthly climate data'!$L$3:$CA$83,'phius_monthly climate data'!$CD696,FALSE),"")</f>
        <v/>
      </c>
      <c r="CD701" s="215">
        <v>699</v>
      </c>
    </row>
    <row r="702" spans="1:82" x14ac:dyDescent="0.35">
      <c r="A702" s="211" t="s">
        <v>77</v>
      </c>
      <c r="B702" s="211" t="s">
        <v>42</v>
      </c>
      <c r="C702" s="216" t="s">
        <v>753</v>
      </c>
      <c r="D702" s="222">
        <v>82.3</v>
      </c>
      <c r="E702" s="222">
        <v>-9.8000000000000007</v>
      </c>
      <c r="F702" s="211">
        <v>5</v>
      </c>
      <c r="I702" s="218" t="str">
        <f>IFERROR(HLOOKUP('Air Source Heat Pump(s)'!D687,'phius_monthly climate data'!$L$3:$CA$83,'phius_monthly climate data'!$CD697,FALSE),"")</f>
        <v/>
      </c>
      <c r="CD702" s="215">
        <v>700</v>
      </c>
    </row>
    <row r="703" spans="1:82" x14ac:dyDescent="0.35">
      <c r="A703" s="211" t="s">
        <v>77</v>
      </c>
      <c r="B703" s="211" t="s">
        <v>42</v>
      </c>
      <c r="C703" s="216" t="s">
        <v>754</v>
      </c>
      <c r="D703" s="222">
        <v>87</v>
      </c>
      <c r="E703" s="222">
        <v>2.1</v>
      </c>
      <c r="F703" s="211">
        <v>11</v>
      </c>
      <c r="I703" s="218" t="str">
        <f>IFERROR(HLOOKUP('Air Source Heat Pump(s)'!D688,'phius_monthly climate data'!$L$3:$CA$83,'phius_monthly climate data'!$CD698,FALSE),"")</f>
        <v/>
      </c>
      <c r="CD703" s="215">
        <v>701</v>
      </c>
    </row>
    <row r="704" spans="1:82" x14ac:dyDescent="0.35">
      <c r="A704" s="211" t="s">
        <v>77</v>
      </c>
      <c r="B704" s="211" t="s">
        <v>42</v>
      </c>
      <c r="C704" s="216" t="s">
        <v>755</v>
      </c>
      <c r="D704" s="222">
        <v>84.5</v>
      </c>
      <c r="E704" s="222">
        <v>0.6</v>
      </c>
      <c r="F704" s="211">
        <v>5</v>
      </c>
      <c r="I704" s="218" t="str">
        <f>IFERROR(HLOOKUP('Air Source Heat Pump(s)'!D689,'phius_monthly climate data'!$L$3:$CA$83,'phius_monthly climate data'!$CD699,FALSE),"")</f>
        <v/>
      </c>
      <c r="CD704" s="215">
        <v>702</v>
      </c>
    </row>
    <row r="705" spans="1:82" x14ac:dyDescent="0.35">
      <c r="A705" s="211" t="s">
        <v>77</v>
      </c>
      <c r="B705" s="211" t="s">
        <v>42</v>
      </c>
      <c r="C705" s="216" t="s">
        <v>756</v>
      </c>
      <c r="D705" s="222">
        <v>84.2</v>
      </c>
      <c r="E705" s="222">
        <v>1.3</v>
      </c>
      <c r="F705" s="211">
        <v>6</v>
      </c>
      <c r="I705" s="218" t="str">
        <f>IFERROR(HLOOKUP('Air Source Heat Pump(s)'!D690,'phius_monthly climate data'!$L$3:$CA$83,'phius_monthly climate data'!$CD700,FALSE),"")</f>
        <v/>
      </c>
      <c r="CD705" s="215">
        <v>703</v>
      </c>
    </row>
    <row r="706" spans="1:82" x14ac:dyDescent="0.35">
      <c r="A706" s="211" t="s">
        <v>77</v>
      </c>
      <c r="B706" s="211" t="s">
        <v>42</v>
      </c>
      <c r="C706" s="216" t="s">
        <v>757</v>
      </c>
      <c r="D706" s="222">
        <v>85.7</v>
      </c>
      <c r="E706" s="222">
        <v>-2.1</v>
      </c>
      <c r="F706" s="211">
        <v>-2</v>
      </c>
      <c r="I706" s="218" t="str">
        <f>IFERROR(HLOOKUP('Air Source Heat Pump(s)'!D691,'phius_monthly climate data'!$L$3:$CA$83,'phius_monthly climate data'!$CD701,FALSE),"")</f>
        <v/>
      </c>
      <c r="CD706" s="215">
        <v>704</v>
      </c>
    </row>
    <row r="707" spans="1:82" x14ac:dyDescent="0.35">
      <c r="A707" s="211" t="s">
        <v>77</v>
      </c>
      <c r="B707" s="211" t="s">
        <v>42</v>
      </c>
      <c r="C707" s="216" t="s">
        <v>758</v>
      </c>
      <c r="D707" s="222">
        <v>88.5</v>
      </c>
      <c r="E707" s="222">
        <v>7.2</v>
      </c>
      <c r="F707" s="211">
        <v>7</v>
      </c>
      <c r="I707" s="218" t="str">
        <f>IFERROR(HLOOKUP('Air Source Heat Pump(s)'!D692,'phius_monthly climate data'!$L$3:$CA$83,'phius_monthly climate data'!$CD702,FALSE),"")</f>
        <v/>
      </c>
      <c r="CD707" s="215">
        <v>705</v>
      </c>
    </row>
    <row r="708" spans="1:82" x14ac:dyDescent="0.35">
      <c r="A708" s="211" t="s">
        <v>77</v>
      </c>
      <c r="B708" s="211" t="s">
        <v>42</v>
      </c>
      <c r="C708" s="216" t="s">
        <v>759</v>
      </c>
      <c r="D708" s="222">
        <v>59.2</v>
      </c>
      <c r="E708" s="222">
        <v>-17</v>
      </c>
      <c r="F708" s="211">
        <v>-7</v>
      </c>
      <c r="I708" s="218" t="str">
        <f>IFERROR(HLOOKUP('Air Source Heat Pump(s)'!D693,'phius_monthly climate data'!$L$3:$CA$83,'phius_monthly climate data'!$CD703,FALSE),"")</f>
        <v/>
      </c>
      <c r="CD708" s="215">
        <v>706</v>
      </c>
    </row>
    <row r="709" spans="1:82" x14ac:dyDescent="0.35">
      <c r="A709" s="211" t="s">
        <v>77</v>
      </c>
      <c r="B709" s="211" t="s">
        <v>42</v>
      </c>
      <c r="C709" s="216" t="s">
        <v>760</v>
      </c>
      <c r="D709" s="222">
        <v>86</v>
      </c>
      <c r="E709" s="222">
        <v>7.7</v>
      </c>
      <c r="F709" s="211">
        <v>10</v>
      </c>
      <c r="I709" s="218" t="str">
        <f>IFERROR(HLOOKUP('Air Source Heat Pump(s)'!D694,'phius_monthly climate data'!$L$3:$CA$83,'phius_monthly climate data'!$CD704,FALSE),"")</f>
        <v/>
      </c>
      <c r="CD709" s="215">
        <v>707</v>
      </c>
    </row>
    <row r="710" spans="1:82" x14ac:dyDescent="0.35">
      <c r="A710" s="211" t="s">
        <v>77</v>
      </c>
      <c r="B710" s="211" t="s">
        <v>43</v>
      </c>
      <c r="C710" s="216" t="s">
        <v>761</v>
      </c>
      <c r="D710" s="222">
        <v>89.3</v>
      </c>
      <c r="E710" s="222">
        <v>16.5</v>
      </c>
      <c r="F710" s="211">
        <v>23</v>
      </c>
      <c r="I710" s="218" t="str">
        <f>IFERROR(HLOOKUP('Air Source Heat Pump(s)'!D695,'phius_monthly climate data'!$L$3:$CA$83,'phius_monthly climate data'!$CD705,FALSE),"")</f>
        <v/>
      </c>
      <c r="CD710" s="215">
        <v>708</v>
      </c>
    </row>
    <row r="711" spans="1:82" x14ac:dyDescent="0.35">
      <c r="A711" s="211" t="s">
        <v>77</v>
      </c>
      <c r="B711" s="211" t="s">
        <v>43</v>
      </c>
      <c r="C711" s="216" t="s">
        <v>762</v>
      </c>
      <c r="D711" s="222">
        <v>88.4</v>
      </c>
      <c r="E711" s="222">
        <v>16</v>
      </c>
      <c r="F711" s="211">
        <v>18</v>
      </c>
      <c r="I711" s="218" t="str">
        <f>IFERROR(HLOOKUP('Air Source Heat Pump(s)'!D696,'phius_monthly climate data'!$L$3:$CA$83,'phius_monthly climate data'!$CD706,FALSE),"")</f>
        <v/>
      </c>
      <c r="CD711" s="215">
        <v>709</v>
      </c>
    </row>
    <row r="712" spans="1:82" x14ac:dyDescent="0.35">
      <c r="A712" s="211" t="s">
        <v>77</v>
      </c>
      <c r="B712" s="211" t="s">
        <v>43</v>
      </c>
      <c r="C712" s="216" t="s">
        <v>763</v>
      </c>
      <c r="D712" s="222">
        <v>89.7</v>
      </c>
      <c r="E712" s="222">
        <v>13.8</v>
      </c>
      <c r="F712" s="211">
        <v>17</v>
      </c>
      <c r="I712" s="218" t="str">
        <f>IFERROR(HLOOKUP('Air Source Heat Pump(s)'!D697,'phius_monthly climate data'!$L$3:$CA$83,'phius_monthly climate data'!$CD707,FALSE),"")</f>
        <v/>
      </c>
      <c r="CD712" s="215">
        <v>710</v>
      </c>
    </row>
    <row r="713" spans="1:82" x14ac:dyDescent="0.35">
      <c r="A713" s="211" t="s">
        <v>77</v>
      </c>
      <c r="B713" s="211" t="s">
        <v>43</v>
      </c>
      <c r="C713" s="216" t="s">
        <v>764</v>
      </c>
      <c r="D713" s="222">
        <v>87.7</v>
      </c>
      <c r="E713" s="222">
        <v>19.3</v>
      </c>
      <c r="F713" s="211">
        <v>28</v>
      </c>
      <c r="I713" s="218" t="str">
        <f>IFERROR(HLOOKUP('Air Source Heat Pump(s)'!D698,'phius_monthly climate data'!$L$3:$CA$83,'phius_monthly climate data'!$CD708,FALSE),"")</f>
        <v/>
      </c>
      <c r="CD713" s="215">
        <v>711</v>
      </c>
    </row>
    <row r="714" spans="1:82" x14ac:dyDescent="0.35">
      <c r="A714" s="211" t="s">
        <v>77</v>
      </c>
      <c r="B714" s="211" t="s">
        <v>43</v>
      </c>
      <c r="C714" s="216" t="s">
        <v>765</v>
      </c>
      <c r="D714" s="222">
        <v>90.3</v>
      </c>
      <c r="E714" s="222">
        <v>15.9</v>
      </c>
      <c r="F714" s="211">
        <v>13</v>
      </c>
      <c r="I714" s="218" t="str">
        <f>IFERROR(HLOOKUP('Air Source Heat Pump(s)'!D699,'phius_monthly climate data'!$L$3:$CA$83,'phius_monthly climate data'!$CD709,FALSE),"")</f>
        <v/>
      </c>
      <c r="CD714" s="215">
        <v>712</v>
      </c>
    </row>
    <row r="715" spans="1:82" x14ac:dyDescent="0.35">
      <c r="A715" s="211" t="s">
        <v>77</v>
      </c>
      <c r="B715" s="211" t="s">
        <v>43</v>
      </c>
      <c r="C715" s="216" t="s">
        <v>766</v>
      </c>
      <c r="D715" s="222">
        <v>89.4</v>
      </c>
      <c r="E715" s="222">
        <v>16.2</v>
      </c>
      <c r="F715" s="211">
        <v>19</v>
      </c>
      <c r="I715" s="218" t="str">
        <f>IFERROR(HLOOKUP('Air Source Heat Pump(s)'!D700,'phius_monthly climate data'!$L$3:$CA$83,'phius_monthly climate data'!$CD710,FALSE),"")</f>
        <v/>
      </c>
      <c r="CD715" s="215">
        <v>713</v>
      </c>
    </row>
    <row r="716" spans="1:82" x14ac:dyDescent="0.35">
      <c r="A716" s="211" t="s">
        <v>77</v>
      </c>
      <c r="B716" s="211" t="s">
        <v>43</v>
      </c>
      <c r="C716" s="216" t="s">
        <v>767</v>
      </c>
      <c r="D716" s="222">
        <v>91.2</v>
      </c>
      <c r="E716" s="222">
        <v>16.899999999999999</v>
      </c>
      <c r="F716" s="211">
        <v>18</v>
      </c>
      <c r="I716" s="218" t="str">
        <f>IFERROR(HLOOKUP('Air Source Heat Pump(s)'!D701,'phius_monthly climate data'!$L$3:$CA$83,'phius_monthly climate data'!$CD711,FALSE),"")</f>
        <v/>
      </c>
      <c r="CD716" s="215">
        <v>714</v>
      </c>
    </row>
    <row r="717" spans="1:82" x14ac:dyDescent="0.35">
      <c r="A717" s="211" t="s">
        <v>77</v>
      </c>
      <c r="B717" s="211" t="s">
        <v>43</v>
      </c>
      <c r="C717" s="216" t="s">
        <v>768</v>
      </c>
      <c r="D717" s="222">
        <v>89.9</v>
      </c>
      <c r="E717" s="222">
        <v>16.100000000000001</v>
      </c>
      <c r="F717" s="211">
        <v>17</v>
      </c>
      <c r="I717" s="218" t="str">
        <f>IFERROR(HLOOKUP('Air Source Heat Pump(s)'!D702,'phius_monthly climate data'!$L$3:$CA$83,'phius_monthly climate data'!$CD712,FALSE),"")</f>
        <v/>
      </c>
      <c r="CD717" s="215">
        <v>715</v>
      </c>
    </row>
    <row r="718" spans="1:82" x14ac:dyDescent="0.35">
      <c r="A718" s="211" t="s">
        <v>77</v>
      </c>
      <c r="B718" s="211" t="s">
        <v>43</v>
      </c>
      <c r="C718" s="216" t="s">
        <v>769</v>
      </c>
      <c r="D718" s="222">
        <v>89.9</v>
      </c>
      <c r="E718" s="222">
        <v>16.100000000000001</v>
      </c>
      <c r="F718" s="211">
        <v>13</v>
      </c>
      <c r="I718" s="218" t="str">
        <f>IFERROR(HLOOKUP('Air Source Heat Pump(s)'!D703,'phius_monthly climate data'!$L$3:$CA$83,'phius_monthly climate data'!$CD713,FALSE),"")</f>
        <v/>
      </c>
      <c r="CD718" s="215">
        <v>716</v>
      </c>
    </row>
    <row r="719" spans="1:82" x14ac:dyDescent="0.35">
      <c r="A719" s="211" t="s">
        <v>77</v>
      </c>
      <c r="B719" s="211" t="s">
        <v>44</v>
      </c>
      <c r="C719" s="216" t="s">
        <v>770</v>
      </c>
      <c r="D719" s="222">
        <v>93.3</v>
      </c>
      <c r="E719" s="222">
        <v>21.9</v>
      </c>
      <c r="F719" s="211">
        <v>29</v>
      </c>
      <c r="I719" s="218" t="str">
        <f>IFERROR(HLOOKUP('Air Source Heat Pump(s)'!D704,'phius_monthly climate data'!$L$3:$CA$83,'phius_monthly climate data'!$CD714,FALSE),"")</f>
        <v/>
      </c>
      <c r="CD719" s="215">
        <v>717</v>
      </c>
    </row>
    <row r="720" spans="1:82" x14ac:dyDescent="0.35">
      <c r="A720" s="211" t="s">
        <v>77</v>
      </c>
      <c r="B720" s="211" t="s">
        <v>44</v>
      </c>
      <c r="C720" s="216" t="s">
        <v>771</v>
      </c>
      <c r="D720" s="222">
        <v>100.2</v>
      </c>
      <c r="E720" s="222">
        <v>24.5</v>
      </c>
      <c r="F720" s="211">
        <v>33</v>
      </c>
      <c r="I720" s="218" t="str">
        <f>IFERROR(HLOOKUP('Air Source Heat Pump(s)'!D705,'phius_monthly climate data'!$L$3:$CA$83,'phius_monthly climate data'!$CD715,FALSE),"")</f>
        <v/>
      </c>
      <c r="CD720" s="215">
        <v>718</v>
      </c>
    </row>
    <row r="721" spans="1:82" x14ac:dyDescent="0.35">
      <c r="A721" s="211" t="s">
        <v>77</v>
      </c>
      <c r="B721" s="211" t="s">
        <v>44</v>
      </c>
      <c r="C721" s="216" t="s">
        <v>772</v>
      </c>
      <c r="D721" s="222">
        <v>93.2</v>
      </c>
      <c r="E721" s="222">
        <v>13.5</v>
      </c>
      <c r="F721" s="211">
        <v>21</v>
      </c>
      <c r="I721" s="218" t="str">
        <f>IFERROR(HLOOKUP('Air Source Heat Pump(s)'!D706,'phius_monthly climate data'!$L$3:$CA$83,'phius_monthly climate data'!$CD716,FALSE),"")</f>
        <v/>
      </c>
      <c r="CD721" s="215">
        <v>719</v>
      </c>
    </row>
    <row r="722" spans="1:82" x14ac:dyDescent="0.35">
      <c r="A722" s="211" t="s">
        <v>77</v>
      </c>
      <c r="B722" s="211" t="s">
        <v>44</v>
      </c>
      <c r="C722" s="216" t="s">
        <v>773</v>
      </c>
      <c r="D722" s="222">
        <v>94.6</v>
      </c>
      <c r="E722" s="222">
        <v>17.600000000000001</v>
      </c>
      <c r="F722" s="211">
        <v>13</v>
      </c>
      <c r="I722" s="218" t="str">
        <f>IFERROR(HLOOKUP('Air Source Heat Pump(s)'!D707,'phius_monthly climate data'!$L$3:$CA$83,'phius_monthly climate data'!$CD717,FALSE),"")</f>
        <v/>
      </c>
      <c r="CD722" s="215">
        <v>720</v>
      </c>
    </row>
    <row r="723" spans="1:82" x14ac:dyDescent="0.35">
      <c r="A723" s="211" t="s">
        <v>77</v>
      </c>
      <c r="B723" s="211" t="s">
        <v>44</v>
      </c>
      <c r="C723" s="216" t="s">
        <v>774</v>
      </c>
      <c r="D723" s="222">
        <v>95.5</v>
      </c>
      <c r="E723" s="222">
        <v>18.2</v>
      </c>
      <c r="F723" s="211">
        <v>25</v>
      </c>
      <c r="I723" s="218" t="str">
        <f>IFERROR(HLOOKUP('Air Source Heat Pump(s)'!D708,'phius_monthly climate data'!$L$3:$CA$83,'phius_monthly climate data'!$CD718,FALSE),"")</f>
        <v/>
      </c>
      <c r="CD723" s="215">
        <v>721</v>
      </c>
    </row>
    <row r="724" spans="1:82" x14ac:dyDescent="0.35">
      <c r="A724" s="211" t="s">
        <v>77</v>
      </c>
      <c r="B724" s="211" t="s">
        <v>44</v>
      </c>
      <c r="C724" s="216" t="s">
        <v>775</v>
      </c>
      <c r="D724" s="222">
        <v>98.5</v>
      </c>
      <c r="E724" s="222">
        <v>22.7</v>
      </c>
      <c r="F724" s="211">
        <v>35</v>
      </c>
      <c r="I724" s="218" t="str">
        <f>IFERROR(HLOOKUP('Air Source Heat Pump(s)'!D709,'phius_monthly climate data'!$L$3:$CA$83,'phius_monthly climate data'!$CD719,FALSE),"")</f>
        <v/>
      </c>
      <c r="CD724" s="215">
        <v>722</v>
      </c>
    </row>
    <row r="725" spans="1:82" x14ac:dyDescent="0.35">
      <c r="A725" s="211" t="s">
        <v>77</v>
      </c>
      <c r="B725" s="211" t="s">
        <v>44</v>
      </c>
      <c r="C725" s="216" t="s">
        <v>776</v>
      </c>
      <c r="D725" s="222">
        <v>93.3</v>
      </c>
      <c r="E725" s="222">
        <v>12.3</v>
      </c>
      <c r="F725" s="211">
        <v>22</v>
      </c>
      <c r="I725" s="218" t="str">
        <f>IFERROR(HLOOKUP('Air Source Heat Pump(s)'!D710,'phius_monthly climate data'!$L$3:$CA$83,'phius_monthly climate data'!$CD720,FALSE),"")</f>
        <v/>
      </c>
      <c r="CD725" s="215">
        <v>723</v>
      </c>
    </row>
    <row r="726" spans="1:82" x14ac:dyDescent="0.35">
      <c r="A726" s="211" t="s">
        <v>77</v>
      </c>
      <c r="B726" s="211" t="s">
        <v>44</v>
      </c>
      <c r="C726" s="216" t="s">
        <v>777</v>
      </c>
      <c r="D726" s="222">
        <v>89.5</v>
      </c>
      <c r="E726" s="222">
        <v>5.3</v>
      </c>
      <c r="F726" s="211">
        <v>19</v>
      </c>
      <c r="CD726" s="215">
        <v>724</v>
      </c>
    </row>
    <row r="727" spans="1:82" x14ac:dyDescent="0.35">
      <c r="A727" s="211" t="s">
        <v>77</v>
      </c>
      <c r="B727" s="211" t="s">
        <v>44</v>
      </c>
      <c r="C727" s="216" t="s">
        <v>778</v>
      </c>
      <c r="D727" s="222">
        <v>97.5</v>
      </c>
      <c r="E727" s="222">
        <v>22.1</v>
      </c>
      <c r="F727" s="211">
        <v>28</v>
      </c>
      <c r="I727" s="218" t="str">
        <f>IFERROR(HLOOKUP('Air Source Heat Pump(s)'!D711,'phius_monthly climate data'!$L$3:$CA$83,'phius_monthly climate data'!$CD722,FALSE),"")</f>
        <v/>
      </c>
      <c r="CD727" s="215">
        <v>725</v>
      </c>
    </row>
    <row r="728" spans="1:82" x14ac:dyDescent="0.35">
      <c r="A728" s="211" t="s">
        <v>77</v>
      </c>
      <c r="B728" s="211" t="s">
        <v>44</v>
      </c>
      <c r="C728" s="216" t="s">
        <v>1213</v>
      </c>
      <c r="D728" s="222">
        <v>97.8</v>
      </c>
      <c r="E728" s="222">
        <v>26.8</v>
      </c>
      <c r="F728" s="211">
        <v>28.04</v>
      </c>
      <c r="I728" s="218" t="str">
        <f>IFERROR(HLOOKUP('Air Source Heat Pump(s)'!D712,'phius_monthly climate data'!$L$3:$CA$83,'phius_monthly climate data'!$CD723,FALSE),"")</f>
        <v/>
      </c>
      <c r="CD728" s="215">
        <v>726</v>
      </c>
    </row>
    <row r="729" spans="1:82" x14ac:dyDescent="0.35">
      <c r="A729" s="211" t="s">
        <v>77</v>
      </c>
      <c r="B729" s="211" t="s">
        <v>44</v>
      </c>
      <c r="C729" s="216" t="s">
        <v>779</v>
      </c>
      <c r="D729" s="222">
        <v>86.3</v>
      </c>
      <c r="E729" s="222">
        <v>11.8</v>
      </c>
      <c r="F729" s="211">
        <v>19</v>
      </c>
      <c r="I729" s="218" t="str">
        <f>IFERROR(HLOOKUP('Air Source Heat Pump(s)'!D713,'phius_monthly climate data'!$L$3:$CA$83,'phius_monthly climate data'!$CD724,FALSE),"")</f>
        <v/>
      </c>
      <c r="CD729" s="215">
        <v>727</v>
      </c>
    </row>
    <row r="730" spans="1:82" x14ac:dyDescent="0.35">
      <c r="A730" s="211" t="s">
        <v>77</v>
      </c>
      <c r="B730" s="211" t="s">
        <v>44</v>
      </c>
      <c r="C730" s="216" t="s">
        <v>780</v>
      </c>
      <c r="D730" s="222">
        <v>98.5</v>
      </c>
      <c r="E730" s="222">
        <v>21.6</v>
      </c>
      <c r="F730" s="211">
        <v>32</v>
      </c>
      <c r="I730" s="218" t="str">
        <f>IFERROR(HLOOKUP('Air Source Heat Pump(s)'!D714,'phius_monthly climate data'!$L$3:$CA$83,'phius_monthly climate data'!$CD725,FALSE),"")</f>
        <v/>
      </c>
      <c r="CD730" s="215">
        <v>728</v>
      </c>
    </row>
    <row r="731" spans="1:82" x14ac:dyDescent="0.35">
      <c r="A731" s="211" t="s">
        <v>77</v>
      </c>
      <c r="B731" s="211" t="s">
        <v>44</v>
      </c>
      <c r="C731" s="216" t="s">
        <v>781</v>
      </c>
      <c r="D731" s="222">
        <v>90.2</v>
      </c>
      <c r="E731" s="222">
        <v>14.2</v>
      </c>
      <c r="F731" s="211">
        <v>24</v>
      </c>
      <c r="I731" s="218" t="str">
        <f>IFERROR(HLOOKUP('Air Source Heat Pump(s)'!D715,'phius_monthly climate data'!$L$3:$CA$83,'phius_monthly climate data'!$CD726,FALSE),"")</f>
        <v/>
      </c>
      <c r="CD731" s="215">
        <v>729</v>
      </c>
    </row>
    <row r="732" spans="1:82" x14ac:dyDescent="0.35">
      <c r="A732" s="211" t="s">
        <v>77</v>
      </c>
      <c r="B732" s="211" t="s">
        <v>44</v>
      </c>
      <c r="C732" s="216" t="s">
        <v>782</v>
      </c>
      <c r="D732" s="222">
        <v>84.4</v>
      </c>
      <c r="E732" s="222">
        <v>18.600000000000001</v>
      </c>
      <c r="F732" s="211">
        <v>22</v>
      </c>
      <c r="I732" s="218" t="str">
        <f>IFERROR(HLOOKUP('Air Source Heat Pump(s)'!D716,'phius_monthly climate data'!$L$3:$CA$83,'phius_monthly climate data'!$CD727,FALSE),"")</f>
        <v/>
      </c>
      <c r="CD732" s="215">
        <v>730</v>
      </c>
    </row>
    <row r="733" spans="1:82" x14ac:dyDescent="0.35">
      <c r="A733" s="211" t="s">
        <v>77</v>
      </c>
      <c r="B733" s="211" t="s">
        <v>44</v>
      </c>
      <c r="C733" s="216" t="s">
        <v>783</v>
      </c>
      <c r="D733" s="222">
        <v>86.2</v>
      </c>
      <c r="E733" s="222">
        <v>2.9</v>
      </c>
      <c r="F733" s="211">
        <v>16</v>
      </c>
      <c r="CD733" s="215">
        <v>731</v>
      </c>
    </row>
    <row r="734" spans="1:82" x14ac:dyDescent="0.35">
      <c r="A734" s="211" t="s">
        <v>77</v>
      </c>
      <c r="B734" s="211" t="s">
        <v>44</v>
      </c>
      <c r="C734" s="216" t="s">
        <v>784</v>
      </c>
      <c r="D734" s="222">
        <v>95.9</v>
      </c>
      <c r="E734" s="222">
        <v>25.3</v>
      </c>
      <c r="F734" s="211">
        <v>30</v>
      </c>
      <c r="I734" s="218" t="str">
        <f>IFERROR(HLOOKUP('Air Source Heat Pump(s)'!D717,'phius_monthly climate data'!$L$3:$CA$83,'phius_monthly climate data'!$CD729,FALSE),"")</f>
        <v/>
      </c>
      <c r="CD734" s="215">
        <v>732</v>
      </c>
    </row>
    <row r="735" spans="1:82" x14ac:dyDescent="0.35">
      <c r="A735" s="211" t="s">
        <v>77</v>
      </c>
      <c r="B735" s="211" t="s">
        <v>44</v>
      </c>
      <c r="C735" s="216" t="s">
        <v>1214</v>
      </c>
      <c r="D735" s="222">
        <v>98.7</v>
      </c>
      <c r="E735" s="222">
        <v>16.8</v>
      </c>
      <c r="F735" s="211">
        <v>23.36</v>
      </c>
      <c r="I735" s="218" t="str">
        <f>IFERROR(HLOOKUP('Air Source Heat Pump(s)'!D718,'phius_monthly climate data'!$L$3:$CA$83,'phius_monthly climate data'!$CD730,FALSE),"")</f>
        <v/>
      </c>
      <c r="CD735" s="215">
        <v>733</v>
      </c>
    </row>
    <row r="736" spans="1:82" x14ac:dyDescent="0.35">
      <c r="A736" s="211" t="s">
        <v>77</v>
      </c>
      <c r="B736" s="211" t="s">
        <v>45</v>
      </c>
      <c r="C736" s="216" t="s">
        <v>785</v>
      </c>
      <c r="D736" s="222">
        <v>81.7</v>
      </c>
      <c r="E736" s="222">
        <v>4.5</v>
      </c>
      <c r="F736" s="211">
        <v>8</v>
      </c>
      <c r="I736" s="218" t="str">
        <f>IFERROR(HLOOKUP('Air Source Heat Pump(s)'!D719,'phius_monthly climate data'!$L$3:$CA$83,'phius_monthly climate data'!$CD731,FALSE),"")</f>
        <v/>
      </c>
      <c r="CD736" s="215">
        <v>734</v>
      </c>
    </row>
    <row r="737" spans="1:82" x14ac:dyDescent="0.35">
      <c r="A737" s="211" t="s">
        <v>77</v>
      </c>
      <c r="B737" s="211" t="s">
        <v>45</v>
      </c>
      <c r="C737" s="216" t="s">
        <v>786</v>
      </c>
      <c r="D737" s="222">
        <v>79.099999999999994</v>
      </c>
      <c r="E737" s="222">
        <v>3</v>
      </c>
      <c r="F737" s="211">
        <v>7</v>
      </c>
      <c r="I737" s="218" t="str">
        <f>IFERROR(HLOOKUP('Air Source Heat Pump(s)'!D720,'phius_monthly climate data'!$L$3:$CA$83,'phius_monthly climate data'!$CD732,FALSE),"")</f>
        <v/>
      </c>
      <c r="CD737" s="215">
        <v>735</v>
      </c>
    </row>
    <row r="738" spans="1:82" x14ac:dyDescent="0.35">
      <c r="A738" s="211" t="s">
        <v>77</v>
      </c>
      <c r="B738" s="211" t="s">
        <v>45</v>
      </c>
      <c r="C738" s="216" t="s">
        <v>787</v>
      </c>
      <c r="D738" s="222">
        <v>79.099999999999994</v>
      </c>
      <c r="E738" s="222">
        <v>3</v>
      </c>
      <c r="F738" s="211">
        <v>8</v>
      </c>
      <c r="I738" s="218" t="str">
        <f>IFERROR(HLOOKUP('Air Source Heat Pump(s)'!D721,'phius_monthly climate data'!$L$3:$CA$83,'phius_monthly climate data'!$CD733,FALSE),"")</f>
        <v/>
      </c>
      <c r="CD738" s="215">
        <v>736</v>
      </c>
    </row>
    <row r="739" spans="1:82" x14ac:dyDescent="0.35">
      <c r="A739" s="211" t="s">
        <v>77</v>
      </c>
      <c r="B739" s="211" t="s">
        <v>45</v>
      </c>
      <c r="C739" s="216" t="s">
        <v>788</v>
      </c>
      <c r="D739" s="222">
        <v>78.599999999999994</v>
      </c>
      <c r="E739" s="222">
        <v>7.3</v>
      </c>
      <c r="F739" s="211">
        <v>9</v>
      </c>
      <c r="I739" s="218" t="str">
        <f>IFERROR(HLOOKUP('Air Source Heat Pump(s)'!D722,'phius_monthly climate data'!$L$3:$CA$83,'phius_monthly climate data'!$CD734,FALSE),"")</f>
        <v/>
      </c>
      <c r="CD739" s="215">
        <v>737</v>
      </c>
    </row>
    <row r="740" spans="1:82" x14ac:dyDescent="0.35">
      <c r="A740" s="211" t="s">
        <v>77</v>
      </c>
      <c r="B740" s="211" t="s">
        <v>46</v>
      </c>
      <c r="C740" s="216" t="s">
        <v>789</v>
      </c>
      <c r="D740" s="222">
        <v>74.7</v>
      </c>
      <c r="E740" s="222">
        <v>-36.9</v>
      </c>
      <c r="F740" s="211">
        <v>-35</v>
      </c>
      <c r="I740" s="218" t="str">
        <f>IFERROR(HLOOKUP('Air Source Heat Pump(s)'!D723,'phius_monthly climate data'!$L$3:$CA$83,'phius_monthly climate data'!$CD735,FALSE),"")</f>
        <v/>
      </c>
      <c r="CD740" s="215">
        <v>738</v>
      </c>
    </row>
    <row r="741" spans="1:82" x14ac:dyDescent="0.35">
      <c r="A741" s="211" t="s">
        <v>77</v>
      </c>
      <c r="B741" s="211" t="s">
        <v>47</v>
      </c>
      <c r="C741" s="216" t="s">
        <v>790</v>
      </c>
      <c r="D741" s="222">
        <v>57.8</v>
      </c>
      <c r="E741" s="222">
        <v>-34.700000000000003</v>
      </c>
      <c r="F741" s="211">
        <v>-31</v>
      </c>
      <c r="I741" s="218" t="str">
        <f>IFERROR(HLOOKUP('Air Source Heat Pump(s)'!D724,'phius_monthly climate data'!$L$3:$CA$83,'phius_monthly climate data'!$CD736,FALSE),"")</f>
        <v/>
      </c>
      <c r="CD741" s="215">
        <v>739</v>
      </c>
    </row>
    <row r="742" spans="1:82" x14ac:dyDescent="0.35">
      <c r="A742" s="211" t="s">
        <v>77</v>
      </c>
      <c r="B742" s="211" t="s">
        <v>48</v>
      </c>
      <c r="C742" s="216" t="s">
        <v>791</v>
      </c>
      <c r="D742" s="222">
        <v>92.3</v>
      </c>
      <c r="E742" s="222">
        <v>2.6</v>
      </c>
      <c r="F742" s="211">
        <v>3</v>
      </c>
      <c r="I742" s="218" t="str">
        <f>IFERROR(HLOOKUP('Air Source Heat Pump(s)'!D725,'phius_monthly climate data'!$L$3:$CA$83,'phius_monthly climate data'!$CD737,FALSE),"")</f>
        <v/>
      </c>
      <c r="CD742" s="215">
        <v>740</v>
      </c>
    </row>
    <row r="743" spans="1:82" x14ac:dyDescent="0.35">
      <c r="A743" s="211" t="s">
        <v>77</v>
      </c>
      <c r="B743" s="211" t="s">
        <v>48</v>
      </c>
      <c r="C743" s="216" t="s">
        <v>792</v>
      </c>
      <c r="D743" s="222">
        <v>89</v>
      </c>
      <c r="E743" s="222">
        <v>1.1000000000000001</v>
      </c>
      <c r="F743" s="211">
        <v>17</v>
      </c>
      <c r="I743" s="218" t="str">
        <f>IFERROR(HLOOKUP('Air Source Heat Pump(s)'!D726,'phius_monthly climate data'!$L$3:$CA$83,'phius_monthly climate data'!$CD738,FALSE),"")</f>
        <v/>
      </c>
      <c r="CD743" s="215">
        <v>741</v>
      </c>
    </row>
    <row r="744" spans="1:82" x14ac:dyDescent="0.35">
      <c r="A744" s="211" t="s">
        <v>77</v>
      </c>
      <c r="B744" s="211" t="s">
        <v>48</v>
      </c>
      <c r="C744" s="216" t="s">
        <v>793</v>
      </c>
      <c r="D744" s="222">
        <v>96.9</v>
      </c>
      <c r="E744" s="222">
        <v>13.2</v>
      </c>
      <c r="F744" s="211">
        <v>18</v>
      </c>
      <c r="I744" s="218" t="str">
        <f>IFERROR(HLOOKUP('Air Source Heat Pump(s)'!D727,'phius_monthly climate data'!$L$3:$CA$83,'phius_monthly climate data'!$CD739,FALSE),"")</f>
        <v/>
      </c>
      <c r="CD744" s="215">
        <v>742</v>
      </c>
    </row>
    <row r="745" spans="1:82" x14ac:dyDescent="0.35">
      <c r="A745" s="211" t="s">
        <v>77</v>
      </c>
      <c r="B745" s="211" t="s">
        <v>48</v>
      </c>
      <c r="C745" s="216" t="s">
        <v>794</v>
      </c>
      <c r="D745" s="222">
        <v>106.3</v>
      </c>
      <c r="E745" s="222">
        <v>34.299999999999997</v>
      </c>
      <c r="F745" s="211">
        <v>40</v>
      </c>
      <c r="I745" s="218" t="str">
        <f>IFERROR(HLOOKUP('Air Source Heat Pump(s)'!D728,'phius_monthly climate data'!$L$3:$CA$83,'phius_monthly climate data'!$CD740,FALSE),"")</f>
        <v/>
      </c>
      <c r="CD745" s="215">
        <v>743</v>
      </c>
    </row>
    <row r="746" spans="1:82" x14ac:dyDescent="0.35">
      <c r="A746" s="211" t="s">
        <v>77</v>
      </c>
      <c r="B746" s="211" t="s">
        <v>48</v>
      </c>
      <c r="C746" s="216" t="s">
        <v>795</v>
      </c>
      <c r="D746" s="222">
        <v>97.8</v>
      </c>
      <c r="E746" s="222">
        <v>10.3</v>
      </c>
      <c r="F746" s="211">
        <v>22</v>
      </c>
      <c r="I746" s="218" t="str">
        <f>IFERROR(HLOOKUP('Air Source Heat Pump(s)'!D729,'phius_monthly climate data'!$L$3:$CA$83,'phius_monthly climate data'!$CD741,FALSE),"")</f>
        <v/>
      </c>
      <c r="CD746" s="215">
        <v>744</v>
      </c>
    </row>
    <row r="747" spans="1:82" x14ac:dyDescent="0.35">
      <c r="A747" s="211" t="s">
        <v>77</v>
      </c>
      <c r="B747" s="211" t="s">
        <v>48</v>
      </c>
      <c r="C747" s="216" t="s">
        <v>796</v>
      </c>
      <c r="D747" s="222">
        <v>101.3</v>
      </c>
      <c r="E747" s="222">
        <v>29.7</v>
      </c>
      <c r="F747" s="211">
        <v>35</v>
      </c>
      <c r="I747" s="218" t="str">
        <f>IFERROR(HLOOKUP('Air Source Heat Pump(s)'!D730,'phius_monthly climate data'!$L$3:$CA$83,'phius_monthly climate data'!$CD742,FALSE),"")</f>
        <v/>
      </c>
      <c r="CD747" s="215">
        <v>745</v>
      </c>
    </row>
    <row r="748" spans="1:82" x14ac:dyDescent="0.35">
      <c r="A748" s="211" t="s">
        <v>77</v>
      </c>
      <c r="B748" s="211" t="s">
        <v>48</v>
      </c>
      <c r="C748" s="216" t="s">
        <v>797</v>
      </c>
      <c r="D748" s="222">
        <v>107.2</v>
      </c>
      <c r="E748" s="222">
        <v>31.7</v>
      </c>
      <c r="F748" s="211">
        <v>39</v>
      </c>
      <c r="I748" s="218" t="str">
        <f>IFERROR(HLOOKUP('Air Source Heat Pump(s)'!D731,'phius_monthly climate data'!$L$3:$CA$83,'phius_monthly climate data'!$CD743,FALSE),"")</f>
        <v/>
      </c>
      <c r="CD748" s="215">
        <v>746</v>
      </c>
    </row>
    <row r="749" spans="1:82" x14ac:dyDescent="0.35">
      <c r="A749" s="211" t="s">
        <v>77</v>
      </c>
      <c r="B749" s="211" t="s">
        <v>48</v>
      </c>
      <c r="C749" s="216" t="s">
        <v>798</v>
      </c>
      <c r="D749" s="222">
        <v>93.8</v>
      </c>
      <c r="E749" s="222">
        <v>18</v>
      </c>
      <c r="F749" s="211">
        <v>11</v>
      </c>
      <c r="I749" s="218" t="str">
        <f>IFERROR(HLOOKUP('Air Source Heat Pump(s)'!D732,'phius_monthly climate data'!$L$3:$CA$83,'phius_monthly climate data'!$CD744,FALSE),"")</f>
        <v/>
      </c>
      <c r="CD749" s="215">
        <v>747</v>
      </c>
    </row>
    <row r="750" spans="1:82" x14ac:dyDescent="0.35">
      <c r="A750" s="211" t="s">
        <v>77</v>
      </c>
      <c r="B750" s="211" t="s">
        <v>48</v>
      </c>
      <c r="C750" s="216" t="s">
        <v>799</v>
      </c>
      <c r="D750" s="222">
        <v>93</v>
      </c>
      <c r="E750" s="222">
        <v>14.7</v>
      </c>
      <c r="F750" s="211">
        <v>25</v>
      </c>
      <c r="I750" s="218" t="str">
        <f>IFERROR(HLOOKUP('Air Source Heat Pump(s)'!D733,'phius_monthly climate data'!$L$3:$CA$83,'phius_monthly climate data'!$CD745,FALSE),"")</f>
        <v/>
      </c>
      <c r="CD750" s="215">
        <v>748</v>
      </c>
    </row>
    <row r="751" spans="1:82" x14ac:dyDescent="0.35">
      <c r="A751" s="211" t="s">
        <v>77</v>
      </c>
      <c r="B751" s="211" t="s">
        <v>48</v>
      </c>
      <c r="C751" s="216" t="s">
        <v>800</v>
      </c>
      <c r="D751" s="222">
        <v>95.4</v>
      </c>
      <c r="E751" s="222">
        <v>7.7</v>
      </c>
      <c r="F751" s="211">
        <v>14</v>
      </c>
      <c r="I751" s="218" t="str">
        <f>IFERROR(HLOOKUP('Air Source Heat Pump(s)'!D734,'phius_monthly climate data'!$L$3:$CA$83,'phius_monthly climate data'!$CD746,FALSE),"")</f>
        <v/>
      </c>
      <c r="CD751" s="215">
        <v>749</v>
      </c>
    </row>
    <row r="752" spans="1:82" x14ac:dyDescent="0.35">
      <c r="A752" s="211" t="s">
        <v>77</v>
      </c>
      <c r="B752" s="211" t="s">
        <v>49</v>
      </c>
      <c r="C752" s="216" t="s">
        <v>801</v>
      </c>
      <c r="D752" s="222">
        <v>81</v>
      </c>
      <c r="E752" s="222">
        <v>-11.5</v>
      </c>
      <c r="F752" s="211">
        <v>6</v>
      </c>
      <c r="I752" s="218" t="str">
        <f>IFERROR(HLOOKUP('Air Source Heat Pump(s)'!D735,'phius_monthly climate data'!$L$3:$CA$83,'phius_monthly climate data'!$CD747,FALSE),"")</f>
        <v/>
      </c>
      <c r="CD752" s="215">
        <v>750</v>
      </c>
    </row>
    <row r="753" spans="1:82" x14ac:dyDescent="0.35">
      <c r="A753" s="211" t="s">
        <v>77</v>
      </c>
      <c r="B753" s="211" t="s">
        <v>49</v>
      </c>
      <c r="C753" s="216" t="s">
        <v>802</v>
      </c>
      <c r="D753" s="222">
        <v>86.1</v>
      </c>
      <c r="E753" s="222">
        <v>4.7</v>
      </c>
      <c r="F753" s="211">
        <v>11</v>
      </c>
      <c r="I753" s="218" t="str">
        <f>IFERROR(HLOOKUP('Air Source Heat Pump(s)'!D736,'phius_monthly climate data'!$L$3:$CA$83,'phius_monthly climate data'!$CD748,FALSE),"")</f>
        <v/>
      </c>
      <c r="CD753" s="215">
        <v>751</v>
      </c>
    </row>
    <row r="754" spans="1:82" x14ac:dyDescent="0.35">
      <c r="A754" s="211" t="s">
        <v>77</v>
      </c>
      <c r="B754" s="211" t="s">
        <v>49</v>
      </c>
      <c r="C754" s="216" t="s">
        <v>803</v>
      </c>
      <c r="D754" s="222">
        <v>82.3</v>
      </c>
      <c r="E754" s="222">
        <v>4.5</v>
      </c>
      <c r="F754" s="211">
        <v>11</v>
      </c>
      <c r="I754" s="218" t="str">
        <f>IFERROR(HLOOKUP('Air Source Heat Pump(s)'!D737,'phius_monthly climate data'!$L$3:$CA$83,'phius_monthly climate data'!$CD749,FALSE),"")</f>
        <v/>
      </c>
      <c r="CD754" s="215">
        <v>752</v>
      </c>
    </row>
    <row r="755" spans="1:82" x14ac:dyDescent="0.35">
      <c r="A755" s="211" t="s">
        <v>77</v>
      </c>
      <c r="B755" s="211" t="s">
        <v>49</v>
      </c>
      <c r="C755" s="216" t="s">
        <v>804</v>
      </c>
      <c r="D755" s="222">
        <v>83.9</v>
      </c>
      <c r="E755" s="222">
        <v>7.4</v>
      </c>
      <c r="F755" s="211">
        <v>12</v>
      </c>
      <c r="I755" s="218" t="str">
        <f>IFERROR(HLOOKUP('Air Source Heat Pump(s)'!D738,'phius_monthly climate data'!$L$3:$CA$83,'phius_monthly climate data'!$CD750,FALSE),"")</f>
        <v/>
      </c>
      <c r="CD755" s="215">
        <v>753</v>
      </c>
    </row>
    <row r="756" spans="1:82" x14ac:dyDescent="0.35">
      <c r="A756" s="211" t="s">
        <v>77</v>
      </c>
      <c r="B756" s="211" t="s">
        <v>49</v>
      </c>
      <c r="C756" s="216" t="s">
        <v>805</v>
      </c>
      <c r="D756" s="222">
        <v>86.4</v>
      </c>
      <c r="E756" s="222">
        <v>4.8</v>
      </c>
      <c r="F756" s="211">
        <v>18</v>
      </c>
      <c r="I756" s="218" t="str">
        <f>IFERROR(HLOOKUP('Air Source Heat Pump(s)'!D739,'phius_monthly climate data'!$L$3:$CA$83,'phius_monthly climate data'!$CD751,FALSE),"")</f>
        <v/>
      </c>
      <c r="CD756" s="215">
        <v>754</v>
      </c>
    </row>
    <row r="757" spans="1:82" x14ac:dyDescent="0.35">
      <c r="A757" s="211" t="s">
        <v>77</v>
      </c>
      <c r="B757" s="211" t="s">
        <v>49</v>
      </c>
      <c r="C757" s="216" t="s">
        <v>806</v>
      </c>
      <c r="D757" s="222">
        <v>83.6</v>
      </c>
      <c r="E757" s="222">
        <v>-4.4000000000000004</v>
      </c>
      <c r="F757" s="211">
        <v>10</v>
      </c>
      <c r="I757" s="218" t="str">
        <f>IFERROR(HLOOKUP('Air Source Heat Pump(s)'!D740,'phius_monthly climate data'!$L$3:$CA$83,'phius_monthly climate data'!$CD752,FALSE),"")</f>
        <v/>
      </c>
      <c r="CD757" s="215">
        <v>755</v>
      </c>
    </row>
    <row r="758" spans="1:82" x14ac:dyDescent="0.35">
      <c r="A758" s="211" t="s">
        <v>77</v>
      </c>
      <c r="B758" s="211" t="s">
        <v>49</v>
      </c>
      <c r="C758" s="216" t="s">
        <v>807</v>
      </c>
      <c r="D758" s="222">
        <v>84.7</v>
      </c>
      <c r="E758" s="222">
        <v>-1.8</v>
      </c>
      <c r="F758" s="211">
        <v>-1</v>
      </c>
      <c r="I758" s="218" t="str">
        <f>IFERROR(HLOOKUP('Air Source Heat Pump(s)'!D741,'phius_monthly climate data'!$L$3:$CA$83,'phius_monthly climate data'!$CD753,FALSE),"")</f>
        <v/>
      </c>
      <c r="CD758" s="215">
        <v>756</v>
      </c>
    </row>
    <row r="759" spans="1:82" x14ac:dyDescent="0.35">
      <c r="A759" s="211" t="s">
        <v>77</v>
      </c>
      <c r="B759" s="211" t="s">
        <v>49</v>
      </c>
      <c r="C759" s="216" t="s">
        <v>808</v>
      </c>
      <c r="D759" s="222">
        <v>85.7</v>
      </c>
      <c r="E759" s="222">
        <v>15.9</v>
      </c>
      <c r="F759" s="211">
        <v>16</v>
      </c>
      <c r="I759" s="218" t="str">
        <f>IFERROR(HLOOKUP('Air Source Heat Pump(s)'!D742,'phius_monthly climate data'!$L$3:$CA$83,'phius_monthly climate data'!$CD754,FALSE),"")</f>
        <v/>
      </c>
      <c r="CD759" s="215">
        <v>757</v>
      </c>
    </row>
    <row r="760" spans="1:82" x14ac:dyDescent="0.35">
      <c r="A760" s="211" t="s">
        <v>77</v>
      </c>
      <c r="B760" s="211" t="s">
        <v>49</v>
      </c>
      <c r="C760" s="216" t="s">
        <v>809</v>
      </c>
      <c r="D760" s="222">
        <v>81.099999999999994</v>
      </c>
      <c r="E760" s="222">
        <v>4.8</v>
      </c>
      <c r="F760" s="211">
        <v>-1</v>
      </c>
      <c r="I760" s="218" t="str">
        <f>IFERROR(HLOOKUP('Air Source Heat Pump(s)'!D743,'phius_monthly climate data'!$L$3:$CA$83,'phius_monthly climate data'!$CD755,FALSE),"")</f>
        <v/>
      </c>
      <c r="CD760" s="215">
        <v>758</v>
      </c>
    </row>
    <row r="761" spans="1:82" x14ac:dyDescent="0.35">
      <c r="A761" s="211" t="s">
        <v>77</v>
      </c>
      <c r="B761" s="211" t="s">
        <v>49</v>
      </c>
      <c r="C761" s="216" t="s">
        <v>810</v>
      </c>
      <c r="D761" s="222">
        <v>84.4</v>
      </c>
      <c r="E761" s="222">
        <v>-7.8</v>
      </c>
      <c r="F761" s="211">
        <v>2</v>
      </c>
      <c r="I761" s="218" t="str">
        <f>IFERROR(HLOOKUP('Air Source Heat Pump(s)'!D744,'phius_monthly climate data'!$L$3:$CA$83,'phius_monthly climate data'!$CD756,FALSE),"")</f>
        <v/>
      </c>
      <c r="CD761" s="215">
        <v>759</v>
      </c>
    </row>
    <row r="762" spans="1:82" x14ac:dyDescent="0.35">
      <c r="A762" s="211" t="s">
        <v>77</v>
      </c>
      <c r="B762" s="211" t="s">
        <v>49</v>
      </c>
      <c r="C762" s="216" t="s">
        <v>811</v>
      </c>
      <c r="D762" s="222">
        <v>82.5</v>
      </c>
      <c r="E762" s="222">
        <v>4.7</v>
      </c>
      <c r="F762" s="211">
        <v>13</v>
      </c>
      <c r="I762" s="218" t="str">
        <f>IFERROR(HLOOKUP('Air Source Heat Pump(s)'!D745,'phius_monthly climate data'!$L$3:$CA$83,'phius_monthly climate data'!$CD757,FALSE),"")</f>
        <v/>
      </c>
      <c r="CD762" s="215">
        <v>760</v>
      </c>
    </row>
    <row r="763" spans="1:82" x14ac:dyDescent="0.35">
      <c r="A763" s="211" t="s">
        <v>77</v>
      </c>
      <c r="B763" s="211" t="s">
        <v>49</v>
      </c>
      <c r="C763" s="216" t="s">
        <v>812</v>
      </c>
      <c r="D763" s="222">
        <v>88</v>
      </c>
      <c r="E763" s="222">
        <v>17.5</v>
      </c>
      <c r="F763" s="211">
        <v>20</v>
      </c>
      <c r="I763" s="218" t="str">
        <f>IFERROR(HLOOKUP('Air Source Heat Pump(s)'!D746,'phius_monthly climate data'!$L$3:$CA$83,'phius_monthly climate data'!$CD758,FALSE),"")</f>
        <v/>
      </c>
      <c r="CD763" s="215">
        <v>761</v>
      </c>
    </row>
    <row r="764" spans="1:82" x14ac:dyDescent="0.35">
      <c r="A764" s="211" t="s">
        <v>77</v>
      </c>
      <c r="B764" s="211" t="s">
        <v>49</v>
      </c>
      <c r="C764" s="216" t="s">
        <v>813</v>
      </c>
      <c r="D764" s="222">
        <v>86.6</v>
      </c>
      <c r="E764" s="222">
        <v>18</v>
      </c>
      <c r="F764" s="211">
        <v>20</v>
      </c>
      <c r="I764" s="218" t="str">
        <f>IFERROR(HLOOKUP('Air Source Heat Pump(s)'!D747,'phius_monthly climate data'!$L$3:$CA$83,'phius_monthly climate data'!$CD759,FALSE),"")</f>
        <v/>
      </c>
      <c r="CD764" s="215">
        <v>762</v>
      </c>
    </row>
    <row r="765" spans="1:82" x14ac:dyDescent="0.35">
      <c r="A765" s="211" t="s">
        <v>77</v>
      </c>
      <c r="B765" s="211" t="s">
        <v>49</v>
      </c>
      <c r="C765" s="216" t="s">
        <v>814</v>
      </c>
      <c r="D765" s="222">
        <v>89.6</v>
      </c>
      <c r="E765" s="222">
        <v>18.399999999999999</v>
      </c>
      <c r="F765" s="211">
        <v>20</v>
      </c>
      <c r="I765" s="218" t="str">
        <f>IFERROR(HLOOKUP('Air Source Heat Pump(s)'!D748,'phius_monthly climate data'!$L$3:$CA$83,'phius_monthly climate data'!$CD760,FALSE),"")</f>
        <v/>
      </c>
      <c r="CD765" s="215">
        <v>763</v>
      </c>
    </row>
    <row r="766" spans="1:82" x14ac:dyDescent="0.35">
      <c r="A766" s="211" t="s">
        <v>77</v>
      </c>
      <c r="B766" s="211" t="s">
        <v>49</v>
      </c>
      <c r="C766" s="216" t="s">
        <v>815</v>
      </c>
      <c r="D766" s="222">
        <v>85.2</v>
      </c>
      <c r="E766" s="222">
        <v>6.9</v>
      </c>
      <c r="F766" s="211">
        <v>5</v>
      </c>
      <c r="I766" s="218" t="str">
        <f>IFERROR(HLOOKUP('Air Source Heat Pump(s)'!D749,'phius_monthly climate data'!$L$3:$CA$83,'phius_monthly climate data'!$CD761,FALSE),"")</f>
        <v/>
      </c>
      <c r="CD766" s="215">
        <v>764</v>
      </c>
    </row>
    <row r="767" spans="1:82" x14ac:dyDescent="0.35">
      <c r="A767" s="211" t="s">
        <v>77</v>
      </c>
      <c r="B767" s="211" t="s">
        <v>49</v>
      </c>
      <c r="C767" s="216" t="s">
        <v>816</v>
      </c>
      <c r="D767" s="222">
        <v>88.4</v>
      </c>
      <c r="E767" s="222">
        <v>8.4</v>
      </c>
      <c r="F767" s="211">
        <v>8</v>
      </c>
      <c r="I767" s="218" t="str">
        <f>IFERROR(HLOOKUP('Air Source Heat Pump(s)'!D750,'phius_monthly climate data'!$L$3:$CA$83,'phius_monthly climate data'!$CD762,FALSE),"")</f>
        <v/>
      </c>
      <c r="CD767" s="215">
        <v>765</v>
      </c>
    </row>
    <row r="768" spans="1:82" x14ac:dyDescent="0.35">
      <c r="A768" s="211" t="s">
        <v>77</v>
      </c>
      <c r="B768" s="211" t="s">
        <v>49</v>
      </c>
      <c r="C768" s="216" t="s">
        <v>817</v>
      </c>
      <c r="D768" s="222">
        <v>86.3</v>
      </c>
      <c r="E768" s="222">
        <v>17</v>
      </c>
      <c r="F768" s="211">
        <v>26</v>
      </c>
      <c r="I768" s="218" t="str">
        <f>IFERROR(HLOOKUP('Air Source Heat Pump(s)'!D751,'phius_monthly climate data'!$L$3:$CA$83,'phius_monthly climate data'!$CD763,FALSE),"")</f>
        <v/>
      </c>
      <c r="CD768" s="215">
        <v>766</v>
      </c>
    </row>
    <row r="769" spans="1:82" x14ac:dyDescent="0.35">
      <c r="A769" s="211" t="s">
        <v>77</v>
      </c>
      <c r="B769" s="211" t="s">
        <v>49</v>
      </c>
      <c r="C769" s="216" t="s">
        <v>818</v>
      </c>
      <c r="D769" s="222">
        <v>85.6</v>
      </c>
      <c r="E769" s="222">
        <v>7.1</v>
      </c>
      <c r="F769" s="211">
        <v>12</v>
      </c>
      <c r="I769" s="218" t="str">
        <f>IFERROR(HLOOKUP('Air Source Heat Pump(s)'!D752,'phius_monthly climate data'!$L$3:$CA$83,'phius_monthly climate data'!$CD764,FALSE),"")</f>
        <v/>
      </c>
      <c r="CD769" s="215">
        <v>767</v>
      </c>
    </row>
    <row r="770" spans="1:82" x14ac:dyDescent="0.35">
      <c r="A770" s="211" t="s">
        <v>77</v>
      </c>
      <c r="B770" s="211" t="s">
        <v>49</v>
      </c>
      <c r="C770" s="216" t="s">
        <v>819</v>
      </c>
      <c r="D770" s="222">
        <v>87</v>
      </c>
      <c r="E770" s="222">
        <v>9.1</v>
      </c>
      <c r="F770" s="211">
        <v>11</v>
      </c>
      <c r="I770" s="218" t="str">
        <f>IFERROR(HLOOKUP('Air Source Heat Pump(s)'!D753,'phius_monthly climate data'!$L$3:$CA$83,'phius_monthly climate data'!$CD765,FALSE),"")</f>
        <v/>
      </c>
      <c r="CD770" s="215">
        <v>768</v>
      </c>
    </row>
    <row r="771" spans="1:82" x14ac:dyDescent="0.35">
      <c r="A771" s="211" t="s">
        <v>77</v>
      </c>
      <c r="B771" s="211" t="s">
        <v>49</v>
      </c>
      <c r="C771" s="216" t="s">
        <v>820</v>
      </c>
      <c r="D771" s="222">
        <v>86.4</v>
      </c>
      <c r="E771" s="222">
        <v>4.9000000000000004</v>
      </c>
      <c r="F771" s="211">
        <v>13</v>
      </c>
      <c r="I771" s="218" t="str">
        <f>IFERROR(HLOOKUP('Air Source Heat Pump(s)'!D754,'phius_monthly climate data'!$L$3:$CA$83,'phius_monthly climate data'!$CD766,FALSE),"")</f>
        <v/>
      </c>
      <c r="CD771" s="215">
        <v>769</v>
      </c>
    </row>
    <row r="772" spans="1:82" x14ac:dyDescent="0.35">
      <c r="A772" s="211" t="s">
        <v>77</v>
      </c>
      <c r="B772" s="211" t="s">
        <v>49</v>
      </c>
      <c r="C772" s="216" t="s">
        <v>821</v>
      </c>
      <c r="D772" s="222">
        <v>84.2</v>
      </c>
      <c r="E772" s="222">
        <v>1.2</v>
      </c>
      <c r="F772" s="211">
        <v>10</v>
      </c>
      <c r="I772" s="218" t="str">
        <f>IFERROR(HLOOKUP('Air Source Heat Pump(s)'!D755,'phius_monthly climate data'!$L$3:$CA$83,'phius_monthly climate data'!$CD767,FALSE),"")</f>
        <v/>
      </c>
      <c r="CD772" s="215">
        <v>770</v>
      </c>
    </row>
    <row r="773" spans="1:82" x14ac:dyDescent="0.35">
      <c r="A773" s="211" t="s">
        <v>77</v>
      </c>
      <c r="B773" s="211" t="s">
        <v>49</v>
      </c>
      <c r="C773" s="216" t="s">
        <v>822</v>
      </c>
      <c r="D773" s="222">
        <v>83.1</v>
      </c>
      <c r="E773" s="222">
        <v>-5</v>
      </c>
      <c r="F773" s="211">
        <v>10</v>
      </c>
      <c r="I773" s="218" t="str">
        <f>IFERROR(HLOOKUP('Air Source Heat Pump(s)'!D756,'phius_monthly climate data'!$L$3:$CA$83,'phius_monthly climate data'!$CD768,FALSE),"")</f>
        <v/>
      </c>
      <c r="CD773" s="215">
        <v>771</v>
      </c>
    </row>
    <row r="774" spans="1:82" x14ac:dyDescent="0.35">
      <c r="A774" s="211" t="s">
        <v>77</v>
      </c>
      <c r="B774" s="211" t="s">
        <v>49</v>
      </c>
      <c r="C774" s="216" t="s">
        <v>823</v>
      </c>
      <c r="D774" s="222">
        <v>84</v>
      </c>
      <c r="E774" s="222">
        <v>12.2</v>
      </c>
      <c r="F774" s="211">
        <v>22</v>
      </c>
      <c r="I774" s="218" t="str">
        <f>IFERROR(HLOOKUP('Air Source Heat Pump(s)'!D757,'phius_monthly climate data'!$L$3:$CA$83,'phius_monthly climate data'!$CD769,FALSE),"")</f>
        <v/>
      </c>
      <c r="CD774" s="215">
        <v>772</v>
      </c>
    </row>
    <row r="775" spans="1:82" x14ac:dyDescent="0.35">
      <c r="A775" s="211" t="s">
        <v>77</v>
      </c>
      <c r="B775" s="211" t="s">
        <v>49</v>
      </c>
      <c r="C775" s="216" t="s">
        <v>824</v>
      </c>
      <c r="D775" s="222">
        <v>86.4</v>
      </c>
      <c r="E775" s="222">
        <v>13.5</v>
      </c>
      <c r="F775" s="211">
        <v>14</v>
      </c>
      <c r="I775" s="218" t="str">
        <f>IFERROR(HLOOKUP('Air Source Heat Pump(s)'!D758,'phius_monthly climate data'!$L$3:$CA$83,'phius_monthly climate data'!$CD770,FALSE),"")</f>
        <v/>
      </c>
      <c r="CD775" s="215">
        <v>773</v>
      </c>
    </row>
    <row r="776" spans="1:82" x14ac:dyDescent="0.35">
      <c r="A776" s="211" t="s">
        <v>77</v>
      </c>
      <c r="B776" s="211" t="s">
        <v>50</v>
      </c>
      <c r="C776" s="216" t="s">
        <v>825</v>
      </c>
      <c r="D776" s="222">
        <v>86</v>
      </c>
      <c r="E776" s="222">
        <v>8.1999999999999993</v>
      </c>
      <c r="F776" s="211">
        <v>11</v>
      </c>
      <c r="I776" s="218" t="str">
        <f>IFERROR(HLOOKUP('Air Source Heat Pump(s)'!D759,'phius_monthly climate data'!$L$3:$CA$83,'phius_monthly climate data'!$CD771,FALSE),"")</f>
        <v/>
      </c>
      <c r="CD776" s="215">
        <v>774</v>
      </c>
    </row>
    <row r="777" spans="1:82" x14ac:dyDescent="0.35">
      <c r="A777" s="211" t="s">
        <v>77</v>
      </c>
      <c r="B777" s="211" t="s">
        <v>50</v>
      </c>
      <c r="C777" s="216" t="s">
        <v>826</v>
      </c>
      <c r="D777" s="222">
        <v>86</v>
      </c>
      <c r="E777" s="222">
        <v>12.9</v>
      </c>
      <c r="F777" s="211">
        <v>15</v>
      </c>
      <c r="I777" s="218" t="str">
        <f>IFERROR(HLOOKUP('Air Source Heat Pump(s)'!D760,'phius_monthly climate data'!$L$3:$CA$83,'phius_monthly climate data'!$CD772,FALSE),"")</f>
        <v/>
      </c>
      <c r="CD777" s="215">
        <v>775</v>
      </c>
    </row>
    <row r="778" spans="1:82" x14ac:dyDescent="0.35">
      <c r="A778" s="211" t="s">
        <v>77</v>
      </c>
      <c r="B778" s="211" t="s">
        <v>50</v>
      </c>
      <c r="C778" s="216" t="s">
        <v>827</v>
      </c>
      <c r="D778" s="222">
        <v>90.1</v>
      </c>
      <c r="E778" s="222">
        <v>13.8</v>
      </c>
      <c r="F778" s="211">
        <v>16</v>
      </c>
      <c r="I778" s="218" t="str">
        <f>IFERROR(HLOOKUP('Air Source Heat Pump(s)'!D761,'phius_monthly climate data'!$L$3:$CA$83,'phius_monthly climate data'!$CD773,FALSE),"")</f>
        <v/>
      </c>
      <c r="CD778" s="215">
        <v>776</v>
      </c>
    </row>
    <row r="779" spans="1:82" x14ac:dyDescent="0.35">
      <c r="A779" s="211" t="s">
        <v>77</v>
      </c>
      <c r="B779" s="211" t="s">
        <v>50</v>
      </c>
      <c r="C779" s="216" t="s">
        <v>828</v>
      </c>
      <c r="D779" s="222">
        <v>86.8</v>
      </c>
      <c r="E779" s="222">
        <v>10</v>
      </c>
      <c r="F779" s="211">
        <v>8</v>
      </c>
      <c r="I779" s="218" t="str">
        <f>IFERROR(HLOOKUP('Air Source Heat Pump(s)'!D762,'phius_monthly climate data'!$L$3:$CA$83,'phius_monthly climate data'!$CD774,FALSE),"")</f>
        <v/>
      </c>
      <c r="CD779" s="215">
        <v>777</v>
      </c>
    </row>
    <row r="780" spans="1:82" x14ac:dyDescent="0.35">
      <c r="A780" s="211" t="s">
        <v>77</v>
      </c>
      <c r="B780" s="211" t="s">
        <v>50</v>
      </c>
      <c r="C780" s="216" t="s">
        <v>829</v>
      </c>
      <c r="D780" s="222">
        <v>89</v>
      </c>
      <c r="E780" s="222">
        <v>11</v>
      </c>
      <c r="F780" s="211">
        <v>11</v>
      </c>
      <c r="I780" s="218" t="str">
        <f>IFERROR(HLOOKUP('Air Source Heat Pump(s)'!D763,'phius_monthly climate data'!$L$3:$CA$83,'phius_monthly climate data'!$CD775,FALSE),"")</f>
        <v/>
      </c>
      <c r="CD780" s="215">
        <v>778</v>
      </c>
    </row>
    <row r="781" spans="1:82" x14ac:dyDescent="0.35">
      <c r="A781" s="211" t="s">
        <v>77</v>
      </c>
      <c r="B781" s="211" t="s">
        <v>50</v>
      </c>
      <c r="C781" s="216" t="s">
        <v>830</v>
      </c>
      <c r="D781" s="222">
        <v>87.9</v>
      </c>
      <c r="E781" s="222">
        <v>8.5</v>
      </c>
      <c r="F781" s="211">
        <v>10</v>
      </c>
      <c r="I781" s="218" t="str">
        <f>IFERROR(HLOOKUP('Air Source Heat Pump(s)'!D764,'phius_monthly climate data'!$L$3:$CA$83,'phius_monthly climate data'!$CD776,FALSE),"")</f>
        <v/>
      </c>
      <c r="CD781" s="215">
        <v>779</v>
      </c>
    </row>
    <row r="782" spans="1:82" x14ac:dyDescent="0.35">
      <c r="A782" s="211" t="s">
        <v>77</v>
      </c>
      <c r="B782" s="211" t="s">
        <v>50</v>
      </c>
      <c r="C782" s="216" t="s">
        <v>831</v>
      </c>
      <c r="D782" s="222">
        <v>87.8</v>
      </c>
      <c r="E782" s="222">
        <v>6.9</v>
      </c>
      <c r="F782" s="211">
        <v>17</v>
      </c>
      <c r="I782" s="218" t="str">
        <f>IFERROR(HLOOKUP('Air Source Heat Pump(s)'!D765,'phius_monthly climate data'!$L$3:$CA$83,'phius_monthly climate data'!$CD777,FALSE),"")</f>
        <v/>
      </c>
      <c r="CD782" s="215">
        <v>780</v>
      </c>
    </row>
    <row r="783" spans="1:82" x14ac:dyDescent="0.35">
      <c r="A783" s="211" t="s">
        <v>77</v>
      </c>
      <c r="B783" s="211" t="s">
        <v>50</v>
      </c>
      <c r="C783" s="216" t="s">
        <v>832</v>
      </c>
      <c r="D783" s="222">
        <v>85.6</v>
      </c>
      <c r="E783" s="222">
        <v>7</v>
      </c>
      <c r="F783" s="211">
        <v>2</v>
      </c>
      <c r="I783" s="218" t="str">
        <f>IFERROR(HLOOKUP('Air Source Heat Pump(s)'!D766,'phius_monthly climate data'!$L$3:$CA$83,'phius_monthly climate data'!$CD778,FALSE),"")</f>
        <v/>
      </c>
      <c r="CD783" s="215">
        <v>781</v>
      </c>
    </row>
    <row r="784" spans="1:82" x14ac:dyDescent="0.35">
      <c r="A784" s="211" t="s">
        <v>77</v>
      </c>
      <c r="B784" s="211" t="s">
        <v>50</v>
      </c>
      <c r="C784" s="216" t="s">
        <v>833</v>
      </c>
      <c r="D784" s="222">
        <v>88.2</v>
      </c>
      <c r="E784" s="222">
        <v>9.9</v>
      </c>
      <c r="F784" s="211">
        <v>12</v>
      </c>
      <c r="I784" s="218" t="str">
        <f>IFERROR(HLOOKUP('Air Source Heat Pump(s)'!D767,'phius_monthly climate data'!$L$3:$CA$83,'phius_monthly climate data'!$CD779,FALSE),"")</f>
        <v/>
      </c>
      <c r="CD784" s="215">
        <v>782</v>
      </c>
    </row>
    <row r="785" spans="1:82" x14ac:dyDescent="0.35">
      <c r="A785" s="211" t="s">
        <v>77</v>
      </c>
      <c r="B785" s="211" t="s">
        <v>50</v>
      </c>
      <c r="C785" s="216" t="s">
        <v>834</v>
      </c>
      <c r="D785" s="222">
        <v>88.4</v>
      </c>
      <c r="E785" s="222">
        <v>7</v>
      </c>
      <c r="F785" s="211">
        <v>6</v>
      </c>
      <c r="I785" s="218" t="str">
        <f>IFERROR(HLOOKUP('Air Source Heat Pump(s)'!D768,'phius_monthly climate data'!$L$3:$CA$83,'phius_monthly climate data'!$CD780,FALSE),"")</f>
        <v/>
      </c>
      <c r="CD785" s="215">
        <v>783</v>
      </c>
    </row>
    <row r="786" spans="1:82" x14ac:dyDescent="0.35">
      <c r="A786" s="211" t="s">
        <v>77</v>
      </c>
      <c r="B786" s="211" t="s">
        <v>50</v>
      </c>
      <c r="C786" s="216" t="s">
        <v>835</v>
      </c>
      <c r="D786" s="222">
        <v>85.6</v>
      </c>
      <c r="E786" s="222">
        <v>8.1</v>
      </c>
      <c r="F786" s="211">
        <v>10</v>
      </c>
      <c r="I786" s="218" t="str">
        <f>IFERROR(HLOOKUP('Air Source Heat Pump(s)'!D769,'phius_monthly climate data'!$L$3:$CA$83,'phius_monthly climate data'!$CD781,FALSE),"")</f>
        <v/>
      </c>
      <c r="CD786" s="215">
        <v>784</v>
      </c>
    </row>
    <row r="787" spans="1:82" x14ac:dyDescent="0.35">
      <c r="A787" s="211" t="s">
        <v>77</v>
      </c>
      <c r="B787" s="211" t="s">
        <v>50</v>
      </c>
      <c r="C787" s="216" t="s">
        <v>836</v>
      </c>
      <c r="D787" s="222">
        <v>87.4</v>
      </c>
      <c r="E787" s="222">
        <v>10.4</v>
      </c>
      <c r="F787" s="211">
        <v>26</v>
      </c>
      <c r="CD787" s="215">
        <v>785</v>
      </c>
    </row>
    <row r="788" spans="1:82" x14ac:dyDescent="0.35">
      <c r="A788" s="211" t="s">
        <v>77</v>
      </c>
      <c r="B788" s="211" t="s">
        <v>51</v>
      </c>
      <c r="C788" s="216" t="s">
        <v>837</v>
      </c>
      <c r="D788" s="222">
        <v>101.8</v>
      </c>
      <c r="E788" s="222">
        <v>19.7</v>
      </c>
      <c r="F788" s="211">
        <v>19</v>
      </c>
      <c r="I788" s="218" t="str">
        <f>IFERROR(HLOOKUP('Air Source Heat Pump(s)'!D770,'phius_monthly climate data'!$L$3:$CA$83,'phius_monthly climate data'!$CD783,FALSE),"")</f>
        <v/>
      </c>
      <c r="CD788" s="215">
        <v>786</v>
      </c>
    </row>
    <row r="789" spans="1:82" x14ac:dyDescent="0.35">
      <c r="A789" s="211" t="s">
        <v>77</v>
      </c>
      <c r="B789" s="211" t="s">
        <v>51</v>
      </c>
      <c r="C789" s="216" t="s">
        <v>1212</v>
      </c>
      <c r="D789" s="222">
        <v>97</v>
      </c>
      <c r="E789" s="222">
        <v>14.6</v>
      </c>
      <c r="F789" s="211">
        <v>15.8</v>
      </c>
      <c r="I789" s="218" t="str">
        <f>IFERROR(HLOOKUP('Air Source Heat Pump(s)'!D771,'phius_monthly climate data'!$L$3:$CA$83,'phius_monthly climate data'!$CD784,FALSE),"")</f>
        <v/>
      </c>
      <c r="CD789" s="215">
        <v>787</v>
      </c>
    </row>
    <row r="790" spans="1:82" x14ac:dyDescent="0.35">
      <c r="A790" s="211" t="s">
        <v>77</v>
      </c>
      <c r="B790" s="211" t="s">
        <v>51</v>
      </c>
      <c r="C790" s="216" t="s">
        <v>838</v>
      </c>
      <c r="D790" s="222">
        <v>99.9</v>
      </c>
      <c r="E790" s="222">
        <v>18.7</v>
      </c>
      <c r="F790" s="211">
        <v>22</v>
      </c>
      <c r="I790" s="218" t="str">
        <f>IFERROR(HLOOKUP('Air Source Heat Pump(s)'!D772,'phius_monthly climate data'!$L$3:$CA$83,'phius_monthly climate data'!$CD785,FALSE),"")</f>
        <v/>
      </c>
      <c r="CD790" s="215">
        <v>788</v>
      </c>
    </row>
    <row r="791" spans="1:82" x14ac:dyDescent="0.35">
      <c r="A791" s="211" t="s">
        <v>77</v>
      </c>
      <c r="B791" s="211" t="s">
        <v>51</v>
      </c>
      <c r="C791" s="216" t="s">
        <v>839</v>
      </c>
      <c r="D791" s="222">
        <v>100.3</v>
      </c>
      <c r="E791" s="222">
        <v>20.2</v>
      </c>
      <c r="F791" s="211">
        <v>21</v>
      </c>
      <c r="I791" s="218" t="str">
        <f>IFERROR(HLOOKUP('Air Source Heat Pump(s)'!D773,'phius_monthly climate data'!$L$3:$CA$83,'phius_monthly climate data'!$CD786,FALSE),"")</f>
        <v/>
      </c>
      <c r="CD791" s="215">
        <v>789</v>
      </c>
    </row>
    <row r="792" spans="1:82" x14ac:dyDescent="0.35">
      <c r="A792" s="211" t="s">
        <v>77</v>
      </c>
      <c r="B792" s="211" t="s">
        <v>51</v>
      </c>
      <c r="C792" s="216" t="s">
        <v>840</v>
      </c>
      <c r="D792" s="222">
        <v>98.7</v>
      </c>
      <c r="E792" s="222">
        <v>13.3</v>
      </c>
      <c r="F792" s="211">
        <v>22</v>
      </c>
      <c r="I792" s="218" t="str">
        <f>IFERROR(HLOOKUP('Air Source Heat Pump(s)'!D774,'phius_monthly climate data'!$L$3:$CA$83,'phius_monthly climate data'!$CD787,FALSE),"")</f>
        <v/>
      </c>
      <c r="CD792" s="215">
        <v>790</v>
      </c>
    </row>
    <row r="793" spans="1:82" x14ac:dyDescent="0.35">
      <c r="A793" s="211" t="s">
        <v>77</v>
      </c>
      <c r="B793" s="211" t="s">
        <v>51</v>
      </c>
      <c r="C793" s="216" t="s">
        <v>841</v>
      </c>
      <c r="D793" s="222">
        <v>100.5</v>
      </c>
      <c r="E793" s="222">
        <v>19</v>
      </c>
      <c r="F793" s="211">
        <v>21</v>
      </c>
      <c r="I793" s="218" t="str">
        <f>IFERROR(HLOOKUP('Air Source Heat Pump(s)'!D775,'phius_monthly climate data'!$L$3:$CA$83,'phius_monthly climate data'!$CD788,FALSE),"")</f>
        <v/>
      </c>
      <c r="CD793" s="215">
        <v>791</v>
      </c>
    </row>
    <row r="794" spans="1:82" x14ac:dyDescent="0.35">
      <c r="A794" s="211" t="s">
        <v>77</v>
      </c>
      <c r="B794" s="211" t="s">
        <v>51</v>
      </c>
      <c r="C794" s="216" t="s">
        <v>842</v>
      </c>
      <c r="D794" s="222">
        <v>101.8</v>
      </c>
      <c r="E794" s="222">
        <v>20</v>
      </c>
      <c r="F794" s="211">
        <v>30</v>
      </c>
      <c r="I794" s="218" t="str">
        <f>IFERROR(HLOOKUP('Air Source Heat Pump(s)'!D776,'phius_monthly climate data'!$L$3:$CA$83,'phius_monthly climate data'!$CD789,FALSE),"")</f>
        <v/>
      </c>
      <c r="CD794" s="215">
        <v>792</v>
      </c>
    </row>
    <row r="795" spans="1:82" x14ac:dyDescent="0.35">
      <c r="A795" s="211" t="s">
        <v>77</v>
      </c>
      <c r="B795" s="211" t="s">
        <v>51</v>
      </c>
      <c r="C795" s="216" t="s">
        <v>843</v>
      </c>
      <c r="D795" s="222">
        <v>97.2</v>
      </c>
      <c r="E795" s="222">
        <v>20.8</v>
      </c>
      <c r="F795" s="211">
        <v>20</v>
      </c>
      <c r="I795" s="218" t="str">
        <f>IFERROR(HLOOKUP('Air Source Heat Pump(s)'!D777,'phius_monthly climate data'!$L$3:$CA$83,'phius_monthly climate data'!$CD790,FALSE),"")</f>
        <v/>
      </c>
      <c r="CD795" s="215">
        <v>793</v>
      </c>
    </row>
    <row r="796" spans="1:82" x14ac:dyDescent="0.35">
      <c r="A796" s="211" t="s">
        <v>77</v>
      </c>
      <c r="B796" s="211" t="s">
        <v>51</v>
      </c>
      <c r="C796" s="216" t="s">
        <v>844</v>
      </c>
      <c r="D796" s="222">
        <v>97.4</v>
      </c>
      <c r="E796" s="222">
        <v>18.5</v>
      </c>
      <c r="F796" s="211">
        <v>21</v>
      </c>
      <c r="I796" s="218" t="str">
        <f>IFERROR(HLOOKUP('Air Source Heat Pump(s)'!D778,'phius_monthly climate data'!$L$3:$CA$83,'phius_monthly climate data'!$CD791,FALSE),"")</f>
        <v/>
      </c>
      <c r="CD796" s="215">
        <v>794</v>
      </c>
    </row>
    <row r="797" spans="1:82" x14ac:dyDescent="0.35">
      <c r="A797" s="211" t="s">
        <v>77</v>
      </c>
      <c r="B797" s="211" t="s">
        <v>51</v>
      </c>
      <c r="C797" s="216" t="s">
        <v>845</v>
      </c>
      <c r="D797" s="222">
        <v>97.9</v>
      </c>
      <c r="E797" s="222">
        <v>19.100000000000001</v>
      </c>
      <c r="F797" s="211">
        <v>15</v>
      </c>
      <c r="I797" s="218" t="str">
        <f>IFERROR(HLOOKUP('Air Source Heat Pump(s)'!D779,'phius_monthly climate data'!$L$3:$CA$83,'phius_monthly climate data'!$CD792,FALSE),"")</f>
        <v/>
      </c>
      <c r="CD797" s="215">
        <v>795</v>
      </c>
    </row>
    <row r="798" spans="1:82" x14ac:dyDescent="0.35">
      <c r="A798" s="211" t="s">
        <v>77</v>
      </c>
      <c r="B798" s="211" t="s">
        <v>51</v>
      </c>
      <c r="C798" s="216" t="s">
        <v>846</v>
      </c>
      <c r="D798" s="222">
        <v>98.3</v>
      </c>
      <c r="E798" s="222">
        <v>18.600000000000001</v>
      </c>
      <c r="F798" s="211">
        <v>20</v>
      </c>
      <c r="I798" s="218" t="str">
        <f>IFERROR(HLOOKUP('Air Source Heat Pump(s)'!D780,'phius_monthly climate data'!$L$3:$CA$83,'phius_monthly climate data'!$CD793,FALSE),"")</f>
        <v/>
      </c>
      <c r="CD798" s="215">
        <v>796</v>
      </c>
    </row>
    <row r="799" spans="1:82" x14ac:dyDescent="0.35">
      <c r="A799" s="211" t="s">
        <v>77</v>
      </c>
      <c r="B799" s="211" t="s">
        <v>51</v>
      </c>
      <c r="C799" s="216" t="s">
        <v>847</v>
      </c>
      <c r="D799" s="222">
        <v>98.6</v>
      </c>
      <c r="E799" s="222">
        <v>15.9</v>
      </c>
      <c r="F799" s="211">
        <v>24</v>
      </c>
      <c r="I799" s="218" t="str">
        <f>IFERROR(HLOOKUP('Air Source Heat Pump(s)'!D781,'phius_monthly climate data'!$L$3:$CA$83,'phius_monthly climate data'!$CD794,FALSE),"")</f>
        <v/>
      </c>
      <c r="CD799" s="215">
        <v>797</v>
      </c>
    </row>
    <row r="800" spans="1:82" x14ac:dyDescent="0.35">
      <c r="A800" s="211" t="s">
        <v>77</v>
      </c>
      <c r="B800" s="211" t="s">
        <v>51</v>
      </c>
      <c r="C800" s="216" t="s">
        <v>848</v>
      </c>
      <c r="D800" s="222">
        <v>99.5</v>
      </c>
      <c r="E800" s="222">
        <v>17.7</v>
      </c>
      <c r="F800" s="211">
        <v>19</v>
      </c>
      <c r="I800" s="218" t="str">
        <f>IFERROR(HLOOKUP('Air Source Heat Pump(s)'!D782,'phius_monthly climate data'!$L$3:$CA$83,'phius_monthly climate data'!$CD795,FALSE),"")</f>
        <v/>
      </c>
      <c r="CD800" s="215">
        <v>798</v>
      </c>
    </row>
    <row r="801" spans="1:82" x14ac:dyDescent="0.35">
      <c r="A801" s="211" t="s">
        <v>77</v>
      </c>
      <c r="B801" s="211" t="s">
        <v>51</v>
      </c>
      <c r="C801" s="216" t="s">
        <v>849</v>
      </c>
      <c r="D801" s="222">
        <v>97.6</v>
      </c>
      <c r="E801" s="222">
        <v>18.3</v>
      </c>
      <c r="F801" s="211">
        <v>21</v>
      </c>
      <c r="I801" s="218" t="str">
        <f>IFERROR(HLOOKUP('Air Source Heat Pump(s)'!D783,'phius_monthly climate data'!$L$3:$CA$83,'phius_monthly climate data'!$CD796,FALSE),"")</f>
        <v/>
      </c>
      <c r="CD801" s="215">
        <v>799</v>
      </c>
    </row>
    <row r="802" spans="1:82" x14ac:dyDescent="0.35">
      <c r="A802" s="211" t="s">
        <v>77</v>
      </c>
      <c r="B802" s="211" t="s">
        <v>51</v>
      </c>
      <c r="C802" s="216" t="s">
        <v>850</v>
      </c>
      <c r="D802" s="222">
        <v>99.4</v>
      </c>
      <c r="E802" s="222">
        <v>15.6</v>
      </c>
      <c r="F802" s="211">
        <v>17</v>
      </c>
      <c r="I802" s="218" t="str">
        <f>IFERROR(HLOOKUP('Air Source Heat Pump(s)'!D784,'phius_monthly climate data'!$L$3:$CA$83,'phius_monthly climate data'!$CD797,FALSE),"")</f>
        <v/>
      </c>
      <c r="CD802" s="215">
        <v>800</v>
      </c>
    </row>
    <row r="803" spans="1:82" x14ac:dyDescent="0.35">
      <c r="A803" s="211" t="s">
        <v>72</v>
      </c>
      <c r="B803" s="211" t="s">
        <v>52</v>
      </c>
      <c r="C803" s="216" t="s">
        <v>851</v>
      </c>
      <c r="D803" s="222">
        <v>82.6</v>
      </c>
      <c r="E803" s="222">
        <v>-5.9</v>
      </c>
      <c r="F803" s="211">
        <v>1</v>
      </c>
      <c r="I803" s="218" t="str">
        <f>IFERROR(HLOOKUP('Air Source Heat Pump(s)'!D785,'phius_monthly climate data'!$L$3:$CA$83,'phius_monthly climate data'!$CD798,FALSE),"")</f>
        <v/>
      </c>
      <c r="CD803" s="215">
        <v>801</v>
      </c>
    </row>
    <row r="804" spans="1:82" x14ac:dyDescent="0.35">
      <c r="A804" s="211" t="s">
        <v>72</v>
      </c>
      <c r="B804" s="211" t="s">
        <v>52</v>
      </c>
      <c r="C804" s="216" t="s">
        <v>852</v>
      </c>
      <c r="D804" s="222">
        <v>83.4</v>
      </c>
      <c r="E804" s="222">
        <v>8.9</v>
      </c>
      <c r="F804" s="211">
        <v>7</v>
      </c>
      <c r="I804" s="218" t="str">
        <f>IFERROR(HLOOKUP('Air Source Heat Pump(s)'!D786,'phius_monthly climate data'!$L$3:$CA$83,'phius_monthly climate data'!$CD799,FALSE),"")</f>
        <v/>
      </c>
      <c r="CD804" s="215">
        <v>802</v>
      </c>
    </row>
    <row r="805" spans="1:82" x14ac:dyDescent="0.35">
      <c r="A805" s="211" t="s">
        <v>72</v>
      </c>
      <c r="B805" s="211" t="s">
        <v>52</v>
      </c>
      <c r="C805" s="216" t="s">
        <v>853</v>
      </c>
      <c r="D805" s="222">
        <v>78.5</v>
      </c>
      <c r="E805" s="222">
        <v>9.3000000000000007</v>
      </c>
      <c r="F805" s="211">
        <v>8</v>
      </c>
      <c r="I805" s="218" t="str">
        <f>IFERROR(HLOOKUP('Air Source Heat Pump(s)'!D787,'phius_monthly climate data'!$L$3:$CA$83,'phius_monthly climate data'!$CD800,FALSE),"")</f>
        <v/>
      </c>
      <c r="CD805" s="215">
        <v>803</v>
      </c>
    </row>
    <row r="806" spans="1:82" x14ac:dyDescent="0.35">
      <c r="A806" s="211" t="s">
        <v>72</v>
      </c>
      <c r="B806" s="211" t="s">
        <v>52</v>
      </c>
      <c r="C806" s="216" t="s">
        <v>854</v>
      </c>
      <c r="D806" s="222">
        <v>79</v>
      </c>
      <c r="E806" s="222">
        <v>-5.4</v>
      </c>
      <c r="F806" s="211">
        <v>-3</v>
      </c>
      <c r="I806" s="218" t="str">
        <f>IFERROR(HLOOKUP('Air Source Heat Pump(s)'!D788,'phius_monthly climate data'!$L$3:$CA$83,'phius_monthly climate data'!$CD801,FALSE),"")</f>
        <v/>
      </c>
      <c r="CD806" s="215">
        <v>804</v>
      </c>
    </row>
    <row r="807" spans="1:82" x14ac:dyDescent="0.35">
      <c r="A807" s="211" t="s">
        <v>72</v>
      </c>
      <c r="B807" s="211" t="s">
        <v>52</v>
      </c>
      <c r="C807" s="216" t="s">
        <v>855</v>
      </c>
      <c r="D807" s="222">
        <v>83.5</v>
      </c>
      <c r="E807" s="222">
        <v>3.9</v>
      </c>
      <c r="F807" s="211">
        <v>8</v>
      </c>
      <c r="I807" s="218" t="str">
        <f>IFERROR(HLOOKUP('Air Source Heat Pump(s)'!D789,'phius_monthly climate data'!$L$3:$CA$83,'phius_monthly climate data'!$CD802,FALSE),"")</f>
        <v/>
      </c>
      <c r="CD807" s="215">
        <v>805</v>
      </c>
    </row>
    <row r="808" spans="1:82" x14ac:dyDescent="0.35">
      <c r="A808" s="211" t="s">
        <v>72</v>
      </c>
      <c r="B808" s="211" t="s">
        <v>52</v>
      </c>
      <c r="C808" s="216" t="s">
        <v>856</v>
      </c>
      <c r="D808" s="222">
        <v>79.400000000000006</v>
      </c>
      <c r="E808" s="222">
        <v>-12</v>
      </c>
      <c r="F808" s="211">
        <v>-7</v>
      </c>
      <c r="I808" s="218" t="str">
        <f>IFERROR(HLOOKUP('Air Source Heat Pump(s)'!D790,'phius_monthly climate data'!$L$3:$CA$83,'phius_monthly climate data'!$CD803,FALSE),"")</f>
        <v/>
      </c>
      <c r="CD808" s="215">
        <v>806</v>
      </c>
    </row>
    <row r="809" spans="1:82" x14ac:dyDescent="0.35">
      <c r="A809" s="211" t="s">
        <v>72</v>
      </c>
      <c r="B809" s="211" t="s">
        <v>52</v>
      </c>
      <c r="C809" s="216" t="s">
        <v>857</v>
      </c>
      <c r="D809" s="222">
        <v>84.2</v>
      </c>
      <c r="E809" s="222">
        <v>-6.3</v>
      </c>
      <c r="F809" s="211">
        <v>-2</v>
      </c>
      <c r="I809" s="218" t="str">
        <f>IFERROR(HLOOKUP('Air Source Heat Pump(s)'!D791,'phius_monthly climate data'!$L$3:$CA$83,'phius_monthly climate data'!$CD804,FALSE),"")</f>
        <v/>
      </c>
      <c r="CD809" s="215">
        <v>807</v>
      </c>
    </row>
    <row r="810" spans="1:82" x14ac:dyDescent="0.35">
      <c r="A810" s="211" t="s">
        <v>72</v>
      </c>
      <c r="B810" s="211" t="s">
        <v>52</v>
      </c>
      <c r="C810" s="216" t="s">
        <v>858</v>
      </c>
      <c r="D810" s="222">
        <v>83</v>
      </c>
      <c r="E810" s="222">
        <v>-3.9</v>
      </c>
      <c r="F810" s="211">
        <v>2</v>
      </c>
      <c r="I810" s="218" t="str">
        <f>IFERROR(HLOOKUP('Air Source Heat Pump(s)'!D792,'phius_monthly climate data'!$L$3:$CA$83,'phius_monthly climate data'!$CD805,FALSE),"")</f>
        <v/>
      </c>
      <c r="CD810" s="215">
        <v>808</v>
      </c>
    </row>
    <row r="811" spans="1:82" x14ac:dyDescent="0.35">
      <c r="A811" s="211" t="s">
        <v>72</v>
      </c>
      <c r="B811" s="211" t="s">
        <v>52</v>
      </c>
      <c r="C811" s="216" t="s">
        <v>859</v>
      </c>
      <c r="D811" s="222">
        <v>81.7</v>
      </c>
      <c r="E811" s="222">
        <v>12.6</v>
      </c>
      <c r="F811" s="211">
        <v>14</v>
      </c>
      <c r="I811" s="218" t="str">
        <f>IFERROR(HLOOKUP('Air Source Heat Pump(s)'!D793,'phius_monthly climate data'!$L$3:$CA$83,'phius_monthly climate data'!$CD806,FALSE),"")</f>
        <v/>
      </c>
      <c r="CD811" s="215">
        <v>809</v>
      </c>
    </row>
    <row r="812" spans="1:82" x14ac:dyDescent="0.35">
      <c r="A812" s="211" t="s">
        <v>72</v>
      </c>
      <c r="B812" s="211" t="s">
        <v>52</v>
      </c>
      <c r="C812" s="216" t="s">
        <v>860</v>
      </c>
      <c r="D812" s="222">
        <v>79.900000000000006</v>
      </c>
      <c r="E812" s="222">
        <v>-6.8</v>
      </c>
      <c r="F812" s="211">
        <v>0</v>
      </c>
      <c r="I812" s="218" t="str">
        <f>IFERROR(HLOOKUP('Air Source Heat Pump(s)'!D794,'phius_monthly climate data'!$L$3:$CA$83,'phius_monthly climate data'!$CD807,FALSE),"")</f>
        <v/>
      </c>
      <c r="CD812" s="215">
        <v>810</v>
      </c>
    </row>
    <row r="813" spans="1:82" x14ac:dyDescent="0.35">
      <c r="A813" s="211" t="s">
        <v>72</v>
      </c>
      <c r="B813" s="211" t="s">
        <v>52</v>
      </c>
      <c r="C813" s="216" t="s">
        <v>861</v>
      </c>
      <c r="D813" s="222">
        <v>80.900000000000006</v>
      </c>
      <c r="E813" s="222">
        <v>-12.3</v>
      </c>
      <c r="F813" s="211">
        <v>-7</v>
      </c>
      <c r="I813" s="218" t="str">
        <f>IFERROR(HLOOKUP('Air Source Heat Pump(s)'!D795,'phius_monthly climate data'!$L$3:$CA$83,'phius_monthly climate data'!$CD808,FALSE),"")</f>
        <v/>
      </c>
      <c r="CD813" s="215">
        <v>811</v>
      </c>
    </row>
    <row r="814" spans="1:82" x14ac:dyDescent="0.35">
      <c r="A814" s="211" t="s">
        <v>72</v>
      </c>
      <c r="B814" s="211" t="s">
        <v>52</v>
      </c>
      <c r="C814" s="216" t="s">
        <v>862</v>
      </c>
      <c r="D814" s="222">
        <v>80.7</v>
      </c>
      <c r="E814" s="222">
        <v>-15.9</v>
      </c>
      <c r="F814" s="211">
        <v>-10</v>
      </c>
      <c r="I814" s="218" t="str">
        <f>IFERROR(HLOOKUP('Air Source Heat Pump(s)'!D796,'phius_monthly climate data'!$L$3:$CA$83,'phius_monthly climate data'!$CD809,FALSE),"")</f>
        <v/>
      </c>
      <c r="CD814" s="215">
        <v>812</v>
      </c>
    </row>
    <row r="815" spans="1:82" x14ac:dyDescent="0.35">
      <c r="A815" s="211" t="s">
        <v>72</v>
      </c>
      <c r="B815" s="211" t="s">
        <v>52</v>
      </c>
      <c r="C815" s="216" t="s">
        <v>863</v>
      </c>
      <c r="D815" s="222">
        <v>81.8</v>
      </c>
      <c r="E815" s="222">
        <v>-1.6</v>
      </c>
      <c r="F815" s="211">
        <v>-14</v>
      </c>
      <c r="I815" s="218" t="str">
        <f>IFERROR(HLOOKUP('Air Source Heat Pump(s)'!D797,'phius_monthly climate data'!$L$3:$CA$83,'phius_monthly climate data'!$CD810,FALSE),"")</f>
        <v/>
      </c>
      <c r="CD815" s="215">
        <v>813</v>
      </c>
    </row>
    <row r="816" spans="1:82" x14ac:dyDescent="0.35">
      <c r="A816" s="211" t="s">
        <v>72</v>
      </c>
      <c r="B816" s="211" t="s">
        <v>52</v>
      </c>
      <c r="C816" s="216" t="s">
        <v>864</v>
      </c>
      <c r="D816" s="222">
        <v>85.2</v>
      </c>
      <c r="E816" s="222">
        <v>4.0999999999999996</v>
      </c>
      <c r="F816" s="211">
        <v>7</v>
      </c>
      <c r="I816" s="218" t="str">
        <f>IFERROR(HLOOKUP('Air Source Heat Pump(s)'!D798,'phius_monthly climate data'!$L$3:$CA$83,'phius_monthly climate data'!$CD811,FALSE),"")</f>
        <v/>
      </c>
      <c r="CD816" s="215">
        <v>814</v>
      </c>
    </row>
    <row r="817" spans="1:82" x14ac:dyDescent="0.35">
      <c r="A817" s="211" t="s">
        <v>72</v>
      </c>
      <c r="B817" s="211" t="s">
        <v>52</v>
      </c>
      <c r="C817" s="216" t="s">
        <v>865</v>
      </c>
      <c r="D817" s="222">
        <v>80.3</v>
      </c>
      <c r="E817" s="222">
        <v>8.4</v>
      </c>
      <c r="F817" s="211">
        <v>12</v>
      </c>
      <c r="I817" s="218" t="str">
        <f>IFERROR(HLOOKUP('Air Source Heat Pump(s)'!D799,'phius_monthly climate data'!$L$3:$CA$83,'phius_monthly climate data'!$CD812,FALSE),"")</f>
        <v/>
      </c>
      <c r="CD817" s="215">
        <v>815</v>
      </c>
    </row>
    <row r="818" spans="1:82" x14ac:dyDescent="0.35">
      <c r="A818" s="211" t="s">
        <v>72</v>
      </c>
      <c r="B818" s="211" t="s">
        <v>52</v>
      </c>
      <c r="C818" s="216" t="s">
        <v>866</v>
      </c>
      <c r="D818" s="222">
        <v>84.9</v>
      </c>
      <c r="E818" s="222">
        <v>7.4</v>
      </c>
      <c r="F818" s="211">
        <v>9</v>
      </c>
      <c r="I818" s="218" t="str">
        <f>IFERROR(HLOOKUP('Air Source Heat Pump(s)'!D800,'phius_monthly climate data'!$L$3:$CA$83,'phius_monthly climate data'!$CD813,FALSE),"")</f>
        <v/>
      </c>
      <c r="CD818" s="215">
        <v>816</v>
      </c>
    </row>
    <row r="819" spans="1:82" x14ac:dyDescent="0.35">
      <c r="A819" s="211" t="s">
        <v>72</v>
      </c>
      <c r="B819" s="211" t="s">
        <v>52</v>
      </c>
      <c r="C819" s="216" t="s">
        <v>867</v>
      </c>
      <c r="D819" s="222">
        <v>81.8</v>
      </c>
      <c r="E819" s="222">
        <v>-1.6</v>
      </c>
      <c r="F819" s="211">
        <v>4</v>
      </c>
      <c r="I819" s="218" t="str">
        <f>IFERROR(HLOOKUP('Air Source Heat Pump(s)'!D801,'phius_monthly climate data'!$L$3:$CA$83,'phius_monthly climate data'!$CD814,FALSE),"")</f>
        <v/>
      </c>
      <c r="CD819" s="215">
        <v>817</v>
      </c>
    </row>
    <row r="820" spans="1:82" x14ac:dyDescent="0.35">
      <c r="A820" s="211" t="s">
        <v>72</v>
      </c>
      <c r="B820" s="211" t="s">
        <v>52</v>
      </c>
      <c r="C820" s="216" t="s">
        <v>868</v>
      </c>
      <c r="D820" s="222">
        <v>86.7</v>
      </c>
      <c r="E820" s="222">
        <v>8.6</v>
      </c>
      <c r="F820" s="211">
        <v>12</v>
      </c>
      <c r="I820" s="218" t="str">
        <f>IFERROR(HLOOKUP('Air Source Heat Pump(s)'!D802,'phius_monthly climate data'!$L$3:$CA$83,'phius_monthly climate data'!$CD815,FALSE),"")</f>
        <v/>
      </c>
      <c r="CD820" s="215">
        <v>818</v>
      </c>
    </row>
    <row r="821" spans="1:82" x14ac:dyDescent="0.35">
      <c r="A821" s="211" t="s">
        <v>77</v>
      </c>
      <c r="B821" s="211" t="s">
        <v>53</v>
      </c>
      <c r="C821" s="216" t="s">
        <v>869</v>
      </c>
      <c r="D821" s="222">
        <v>72</v>
      </c>
      <c r="E821" s="222">
        <v>30.6</v>
      </c>
      <c r="F821" s="211">
        <v>35</v>
      </c>
      <c r="I821" s="218" t="str">
        <f>IFERROR(HLOOKUP('Air Source Heat Pump(s)'!D803,'phius_monthly climate data'!$L$3:$CA$83,'phius_monthly climate data'!$CD816,FALSE),"")</f>
        <v/>
      </c>
      <c r="CD821" s="215">
        <v>819</v>
      </c>
    </row>
    <row r="822" spans="1:82" x14ac:dyDescent="0.35">
      <c r="A822" s="211" t="s">
        <v>77</v>
      </c>
      <c r="B822" s="211" t="s">
        <v>53</v>
      </c>
      <c r="C822" s="216" t="s">
        <v>870</v>
      </c>
      <c r="D822" s="222">
        <v>88.1</v>
      </c>
      <c r="E822" s="222">
        <v>28.1</v>
      </c>
      <c r="F822" s="211">
        <v>37</v>
      </c>
      <c r="I822" s="218" t="str">
        <f>IFERROR(HLOOKUP('Air Source Heat Pump(s)'!D804,'phius_monthly climate data'!$L$3:$CA$83,'phius_monthly climate data'!$CD817,FALSE),"")</f>
        <v/>
      </c>
      <c r="CD822" s="215">
        <v>820</v>
      </c>
    </row>
    <row r="823" spans="1:82" x14ac:dyDescent="0.35">
      <c r="A823" s="211" t="s">
        <v>77</v>
      </c>
      <c r="B823" s="211" t="s">
        <v>53</v>
      </c>
      <c r="C823" s="216" t="s">
        <v>871</v>
      </c>
      <c r="D823" s="222">
        <v>89.5</v>
      </c>
      <c r="E823" s="222">
        <v>7</v>
      </c>
      <c r="F823" s="211">
        <v>20</v>
      </c>
      <c r="I823" s="218" t="str">
        <f>IFERROR(HLOOKUP('Air Source Heat Pump(s)'!D805,'phius_monthly climate data'!$L$3:$CA$83,'phius_monthly climate data'!$CD818,FALSE),"")</f>
        <v/>
      </c>
      <c r="CD823" s="215">
        <v>821</v>
      </c>
    </row>
    <row r="824" spans="1:82" x14ac:dyDescent="0.35">
      <c r="A824" s="211" t="s">
        <v>77</v>
      </c>
      <c r="B824" s="211" t="s">
        <v>53</v>
      </c>
      <c r="C824" s="216" t="s">
        <v>872</v>
      </c>
      <c r="D824" s="222">
        <v>90.5</v>
      </c>
      <c r="E824" s="222">
        <v>4</v>
      </c>
      <c r="F824" s="211">
        <v>16</v>
      </c>
      <c r="I824" s="218" t="str">
        <f>IFERROR(HLOOKUP('Air Source Heat Pump(s)'!D806,'phius_monthly climate data'!$L$3:$CA$83,'phius_monthly climate data'!$CD819,FALSE),"")</f>
        <v/>
      </c>
      <c r="CD824" s="215">
        <v>822</v>
      </c>
    </row>
    <row r="825" spans="1:82" x14ac:dyDescent="0.35">
      <c r="A825" s="211" t="s">
        <v>77</v>
      </c>
      <c r="B825" s="211" t="s">
        <v>53</v>
      </c>
      <c r="C825" s="216" t="s">
        <v>873</v>
      </c>
      <c r="D825" s="222">
        <v>89.7</v>
      </c>
      <c r="E825" s="222">
        <v>27.5</v>
      </c>
      <c r="F825" s="211">
        <v>36</v>
      </c>
      <c r="I825" s="218" t="str">
        <f>IFERROR(HLOOKUP('Air Source Heat Pump(s)'!D807,'phius_monthly climate data'!$L$3:$CA$83,'phius_monthly climate data'!$CD820,FALSE),"")</f>
        <v/>
      </c>
      <c r="CD825" s="215">
        <v>823</v>
      </c>
    </row>
    <row r="826" spans="1:82" x14ac:dyDescent="0.35">
      <c r="A826" s="211" t="s">
        <v>77</v>
      </c>
      <c r="B826" s="211" t="s">
        <v>53</v>
      </c>
      <c r="C826" s="216" t="s">
        <v>874</v>
      </c>
      <c r="D826" s="222">
        <v>88</v>
      </c>
      <c r="E826" s="222">
        <v>26.9</v>
      </c>
      <c r="F826" s="211">
        <v>32</v>
      </c>
      <c r="I826" s="218" t="str">
        <f>IFERROR(HLOOKUP('Air Source Heat Pump(s)'!D808,'phius_monthly climate data'!$L$3:$CA$83,'phius_monthly climate data'!$CD821,FALSE),"")</f>
        <v/>
      </c>
      <c r="CD826" s="215">
        <v>824</v>
      </c>
    </row>
    <row r="827" spans="1:82" x14ac:dyDescent="0.35">
      <c r="A827" s="211" t="s">
        <v>77</v>
      </c>
      <c r="B827" s="211" t="s">
        <v>53</v>
      </c>
      <c r="C827" s="216" t="s">
        <v>875</v>
      </c>
      <c r="D827" s="222">
        <v>87.9</v>
      </c>
      <c r="E827" s="222">
        <v>12.6</v>
      </c>
      <c r="F827" s="211">
        <v>24</v>
      </c>
      <c r="I827" s="218" t="str">
        <f>IFERROR(HLOOKUP('Air Source Heat Pump(s)'!D809,'phius_monthly climate data'!$L$3:$CA$83,'phius_monthly climate data'!$CD822,FALSE),"")</f>
        <v/>
      </c>
      <c r="CD827" s="215">
        <v>825</v>
      </c>
    </row>
    <row r="828" spans="1:82" x14ac:dyDescent="0.35">
      <c r="A828" s="211" t="s">
        <v>77</v>
      </c>
      <c r="B828" s="211" t="s">
        <v>53</v>
      </c>
      <c r="C828" s="216" t="s">
        <v>876</v>
      </c>
      <c r="D828" s="222">
        <v>90.4</v>
      </c>
      <c r="E828" s="222">
        <v>15.8</v>
      </c>
      <c r="F828" s="211">
        <v>21</v>
      </c>
      <c r="I828" s="218" t="str">
        <f>IFERROR(HLOOKUP('Air Source Heat Pump(s)'!D810,'phius_monthly climate data'!$L$3:$CA$83,'phius_monthly climate data'!$CD823,FALSE),"")</f>
        <v/>
      </c>
      <c r="CD828" s="215">
        <v>826</v>
      </c>
    </row>
    <row r="829" spans="1:82" x14ac:dyDescent="0.35">
      <c r="A829" s="211" t="s">
        <v>77</v>
      </c>
      <c r="B829" s="211" t="s">
        <v>53</v>
      </c>
      <c r="C829" s="216" t="s">
        <v>877</v>
      </c>
      <c r="D829" s="222">
        <v>87.8</v>
      </c>
      <c r="E829" s="222">
        <v>7.7</v>
      </c>
      <c r="F829" s="211">
        <v>22</v>
      </c>
      <c r="I829" s="218" t="str">
        <f>IFERROR(HLOOKUP('Air Source Heat Pump(s)'!D811,'phius_monthly climate data'!$L$3:$CA$83,'phius_monthly climate data'!$CD824,FALSE),"")</f>
        <v/>
      </c>
      <c r="CD829" s="215">
        <v>827</v>
      </c>
    </row>
    <row r="830" spans="1:82" x14ac:dyDescent="0.35">
      <c r="A830" s="211" t="s">
        <v>77</v>
      </c>
      <c r="B830" s="211" t="s">
        <v>53</v>
      </c>
      <c r="C830" s="216" t="s">
        <v>878</v>
      </c>
      <c r="D830" s="222">
        <v>95.5</v>
      </c>
      <c r="E830" s="222">
        <v>26</v>
      </c>
      <c r="F830" s="211">
        <v>30</v>
      </c>
      <c r="I830" s="218" t="str">
        <f>IFERROR(HLOOKUP('Air Source Heat Pump(s)'!D812,'phius_monthly climate data'!$L$3:$CA$83,'phius_monthly climate data'!$CD825,FALSE),"")</f>
        <v/>
      </c>
      <c r="CD830" s="215">
        <v>828</v>
      </c>
    </row>
    <row r="831" spans="1:82" x14ac:dyDescent="0.35">
      <c r="A831" s="211" t="s">
        <v>77</v>
      </c>
      <c r="B831" s="211" t="s">
        <v>53</v>
      </c>
      <c r="C831" s="216" t="s">
        <v>879</v>
      </c>
      <c r="D831" s="222">
        <v>68.599999999999994</v>
      </c>
      <c r="E831" s="222">
        <v>34</v>
      </c>
      <c r="F831" s="211">
        <v>39</v>
      </c>
      <c r="I831" s="218" t="str">
        <f>IFERROR(HLOOKUP('Air Source Heat Pump(s)'!D813,'phius_monthly climate data'!$L$3:$CA$83,'phius_monthly climate data'!$CD826,FALSE),"")</f>
        <v/>
      </c>
      <c r="CD831" s="215">
        <v>829</v>
      </c>
    </row>
    <row r="832" spans="1:82" x14ac:dyDescent="0.35">
      <c r="A832" s="211" t="s">
        <v>77</v>
      </c>
      <c r="B832" s="211" t="s">
        <v>53</v>
      </c>
      <c r="C832" s="216" t="s">
        <v>880</v>
      </c>
      <c r="D832" s="222">
        <v>93.4</v>
      </c>
      <c r="E832" s="222">
        <v>15</v>
      </c>
      <c r="F832" s="211">
        <v>20</v>
      </c>
      <c r="I832" s="218" t="str">
        <f>IFERROR(HLOOKUP('Air Source Heat Pump(s)'!D814,'phius_monthly climate data'!$L$3:$CA$83,'phius_monthly climate data'!$CD827,FALSE),"")</f>
        <v/>
      </c>
      <c r="CD832" s="215">
        <v>830</v>
      </c>
    </row>
    <row r="833" spans="1:82" x14ac:dyDescent="0.35">
      <c r="A833" s="211" t="s">
        <v>77</v>
      </c>
      <c r="B833" s="211" t="s">
        <v>53</v>
      </c>
      <c r="C833" s="216" t="s">
        <v>881</v>
      </c>
      <c r="D833" s="222">
        <v>87.1</v>
      </c>
      <c r="E833" s="222">
        <v>29</v>
      </c>
      <c r="F833" s="211">
        <v>35</v>
      </c>
      <c r="I833" s="218" t="str">
        <f>IFERROR(HLOOKUP('Air Source Heat Pump(s)'!D815,'phius_monthly climate data'!$L$3:$CA$83,'phius_monthly climate data'!$CD828,FALSE),"")</f>
        <v/>
      </c>
      <c r="CD833" s="215">
        <v>831</v>
      </c>
    </row>
    <row r="834" spans="1:82" x14ac:dyDescent="0.35">
      <c r="A834" s="211" t="s">
        <v>77</v>
      </c>
      <c r="B834" s="211" t="s">
        <v>53</v>
      </c>
      <c r="C834" s="216" t="s">
        <v>882</v>
      </c>
      <c r="D834" s="222">
        <v>88</v>
      </c>
      <c r="E834" s="222">
        <v>26.5</v>
      </c>
      <c r="F834" s="211">
        <v>35</v>
      </c>
      <c r="I834" s="218" t="str">
        <f>IFERROR(HLOOKUP('Air Source Heat Pump(s)'!D816,'phius_monthly climate data'!$L$3:$CA$83,'phius_monthly climate data'!$CD829,FALSE),"")</f>
        <v/>
      </c>
      <c r="CD834" s="215">
        <v>832</v>
      </c>
    </row>
    <row r="835" spans="1:82" x14ac:dyDescent="0.35">
      <c r="A835" s="211" t="s">
        <v>77</v>
      </c>
      <c r="B835" s="211" t="s">
        <v>53</v>
      </c>
      <c r="C835" s="216" t="s">
        <v>883</v>
      </c>
      <c r="D835" s="222">
        <v>87.6</v>
      </c>
      <c r="E835" s="222">
        <v>29.3</v>
      </c>
      <c r="F835" s="211">
        <v>39</v>
      </c>
      <c r="I835" s="218" t="str">
        <f>IFERROR(HLOOKUP('Air Source Heat Pump(s)'!D817,'phius_monthly climate data'!$L$3:$CA$83,'phius_monthly climate data'!$CD830,FALSE),"")</f>
        <v/>
      </c>
      <c r="CD835" s="215">
        <v>833</v>
      </c>
    </row>
    <row r="836" spans="1:82" x14ac:dyDescent="0.35">
      <c r="A836" s="211" t="s">
        <v>77</v>
      </c>
      <c r="B836" s="211" t="s">
        <v>53</v>
      </c>
      <c r="C836" s="216" t="s">
        <v>884</v>
      </c>
      <c r="D836" s="222">
        <v>90.2</v>
      </c>
      <c r="E836" s="222">
        <v>12</v>
      </c>
      <c r="F836" s="211">
        <v>22</v>
      </c>
      <c r="I836" s="218" t="str">
        <f>IFERROR(HLOOKUP('Air Source Heat Pump(s)'!D818,'phius_monthly climate data'!$L$3:$CA$83,'phius_monthly climate data'!$CD831,FALSE),"")</f>
        <v/>
      </c>
      <c r="CD836" s="215">
        <v>834</v>
      </c>
    </row>
    <row r="837" spans="1:82" x14ac:dyDescent="0.35">
      <c r="A837" s="211" t="s">
        <v>77</v>
      </c>
      <c r="B837" s="211" t="s">
        <v>53</v>
      </c>
      <c r="C837" s="216" t="s">
        <v>885</v>
      </c>
      <c r="D837" s="222">
        <v>90.5</v>
      </c>
      <c r="E837" s="222">
        <v>30.2</v>
      </c>
      <c r="F837" s="211">
        <v>36</v>
      </c>
      <c r="I837" s="218" t="str">
        <f>IFERROR(HLOOKUP('Air Source Heat Pump(s)'!D819,'phius_monthly climate data'!$L$3:$CA$83,'phius_monthly climate data'!$CD832,FALSE),"")</f>
        <v/>
      </c>
      <c r="CD837" s="215">
        <v>835</v>
      </c>
    </row>
    <row r="838" spans="1:82" x14ac:dyDescent="0.35">
      <c r="A838" s="211" t="s">
        <v>77</v>
      </c>
      <c r="B838" s="211" t="s">
        <v>53</v>
      </c>
      <c r="C838" s="216" t="s">
        <v>886</v>
      </c>
      <c r="D838" s="222">
        <v>88.1</v>
      </c>
      <c r="E838" s="222">
        <v>27.3</v>
      </c>
      <c r="F838" s="211">
        <v>21</v>
      </c>
      <c r="I838" s="218" t="str">
        <f>IFERROR(HLOOKUP('Air Source Heat Pump(s)'!D820,'phius_monthly climate data'!$L$3:$CA$83,'phius_monthly climate data'!$CD833,FALSE),"")</f>
        <v/>
      </c>
      <c r="CD838" s="215">
        <v>836</v>
      </c>
    </row>
    <row r="839" spans="1:82" x14ac:dyDescent="0.35">
      <c r="A839" s="211" t="s">
        <v>77</v>
      </c>
      <c r="B839" s="211" t="s">
        <v>53</v>
      </c>
      <c r="C839" s="216" t="s">
        <v>887</v>
      </c>
      <c r="D839" s="222">
        <v>81.099999999999994</v>
      </c>
      <c r="E839" s="222">
        <v>24.5</v>
      </c>
      <c r="F839" s="211">
        <v>29</v>
      </c>
      <c r="I839" s="218" t="str">
        <f>IFERROR(HLOOKUP('Air Source Heat Pump(s)'!D821,'phius_monthly climate data'!$L$3:$CA$83,'phius_monthly climate data'!$CD834,FALSE),"")</f>
        <v/>
      </c>
      <c r="CD839" s="215">
        <v>837</v>
      </c>
    </row>
    <row r="840" spans="1:82" x14ac:dyDescent="0.35">
      <c r="A840" s="211" t="s">
        <v>77</v>
      </c>
      <c r="B840" s="211" t="s">
        <v>54</v>
      </c>
      <c r="C840" s="216" t="s">
        <v>888</v>
      </c>
      <c r="D840" s="222">
        <v>88.3</v>
      </c>
      <c r="E840" s="222">
        <v>13</v>
      </c>
      <c r="F840" s="211">
        <v>17</v>
      </c>
      <c r="I840" s="218" t="str">
        <f>IFERROR(HLOOKUP('Air Source Heat Pump(s)'!D822,'phius_monthly climate data'!$L$3:$CA$83,'phius_monthly climate data'!$CD835,FALSE),"")</f>
        <v/>
      </c>
      <c r="CD840" s="215">
        <v>838</v>
      </c>
    </row>
    <row r="841" spans="1:82" x14ac:dyDescent="0.35">
      <c r="A841" s="211" t="s">
        <v>77</v>
      </c>
      <c r="B841" s="211" t="s">
        <v>54</v>
      </c>
      <c r="C841" s="216" t="s">
        <v>889</v>
      </c>
      <c r="D841" s="222">
        <v>85.5</v>
      </c>
      <c r="E841" s="222">
        <v>10.4</v>
      </c>
      <c r="F841" s="211">
        <v>19</v>
      </c>
      <c r="I841" s="218" t="str">
        <f>IFERROR(HLOOKUP('Air Source Heat Pump(s)'!D823,'phius_monthly climate data'!$L$3:$CA$83,'phius_monthly climate data'!$CD836,FALSE),"")</f>
        <v/>
      </c>
      <c r="CD841" s="215">
        <v>839</v>
      </c>
    </row>
    <row r="842" spans="1:82" x14ac:dyDescent="0.35">
      <c r="A842" s="211" t="s">
        <v>77</v>
      </c>
      <c r="B842" s="211" t="s">
        <v>54</v>
      </c>
      <c r="C842" s="216" t="s">
        <v>890</v>
      </c>
      <c r="D842" s="222">
        <v>81.099999999999994</v>
      </c>
      <c r="E842" s="222">
        <v>3.5</v>
      </c>
      <c r="F842" s="211">
        <v>7</v>
      </c>
      <c r="I842" s="218" t="str">
        <f>IFERROR(HLOOKUP('Air Source Heat Pump(s)'!D824,'phius_monthly climate data'!$L$3:$CA$83,'phius_monthly climate data'!$CD837,FALSE),"")</f>
        <v/>
      </c>
      <c r="CD842" s="215">
        <v>840</v>
      </c>
    </row>
    <row r="843" spans="1:82" x14ac:dyDescent="0.35">
      <c r="A843" s="211" t="s">
        <v>77</v>
      </c>
      <c r="B843" s="211" t="s">
        <v>54</v>
      </c>
      <c r="C843" s="216" t="s">
        <v>891</v>
      </c>
      <c r="D843" s="222">
        <v>84.5</v>
      </c>
      <c r="E843" s="222">
        <v>8.8000000000000007</v>
      </c>
      <c r="F843" s="211">
        <v>10</v>
      </c>
      <c r="I843" s="218" t="str">
        <f>IFERROR(HLOOKUP('Air Source Heat Pump(s)'!D825,'phius_monthly climate data'!$L$3:$CA$83,'phius_monthly climate data'!$CD838,FALSE),"")</f>
        <v/>
      </c>
      <c r="CD843" s="215">
        <v>841</v>
      </c>
    </row>
    <row r="844" spans="1:82" x14ac:dyDescent="0.35">
      <c r="A844" s="211" t="s">
        <v>77</v>
      </c>
      <c r="B844" s="211" t="s">
        <v>54</v>
      </c>
      <c r="C844" s="216" t="s">
        <v>892</v>
      </c>
      <c r="D844" s="222">
        <v>82.3</v>
      </c>
      <c r="E844" s="222">
        <v>6.5</v>
      </c>
      <c r="F844" s="211">
        <v>3</v>
      </c>
      <c r="I844" s="218" t="str">
        <f>IFERROR(HLOOKUP('Air Source Heat Pump(s)'!D826,'phius_monthly climate data'!$L$3:$CA$83,'phius_monthly climate data'!$CD839,FALSE),"")</f>
        <v/>
      </c>
      <c r="CD844" s="215">
        <v>842</v>
      </c>
    </row>
    <row r="845" spans="1:82" x14ac:dyDescent="0.35">
      <c r="A845" s="211" t="s">
        <v>77</v>
      </c>
      <c r="B845" s="211" t="s">
        <v>54</v>
      </c>
      <c r="C845" s="216" t="s">
        <v>893</v>
      </c>
      <c r="D845" s="222">
        <v>84.2</v>
      </c>
      <c r="E845" s="222">
        <v>10.4</v>
      </c>
      <c r="F845" s="211">
        <v>17</v>
      </c>
      <c r="I845" s="218" t="str">
        <f>IFERROR(HLOOKUP('Air Source Heat Pump(s)'!D827,'phius_monthly climate data'!$L$3:$CA$83,'phius_monthly climate data'!$CD840,FALSE),"")</f>
        <v/>
      </c>
      <c r="CD845" s="215">
        <v>843</v>
      </c>
    </row>
    <row r="846" spans="1:82" x14ac:dyDescent="0.35">
      <c r="A846" s="211" t="s">
        <v>77</v>
      </c>
      <c r="B846" s="211" t="s">
        <v>54</v>
      </c>
      <c r="C846" s="216" t="s">
        <v>894</v>
      </c>
      <c r="D846" s="222">
        <v>82.5</v>
      </c>
      <c r="E846" s="222">
        <v>6.9</v>
      </c>
      <c r="F846" s="211">
        <v>1</v>
      </c>
      <c r="I846" s="218" t="str">
        <f>IFERROR(HLOOKUP('Air Source Heat Pump(s)'!D828,'phius_monthly climate data'!$L$3:$CA$83,'phius_monthly climate data'!$CD841,FALSE),"")</f>
        <v/>
      </c>
      <c r="CD846" s="215">
        <v>844</v>
      </c>
    </row>
    <row r="847" spans="1:82" x14ac:dyDescent="0.35">
      <c r="A847" s="211" t="s">
        <v>77</v>
      </c>
      <c r="B847" s="211" t="s">
        <v>54</v>
      </c>
      <c r="C847" s="216" t="s">
        <v>895</v>
      </c>
      <c r="D847" s="222">
        <v>89.5</v>
      </c>
      <c r="E847" s="222">
        <v>16.2</v>
      </c>
      <c r="F847" s="211">
        <v>21</v>
      </c>
      <c r="I847" s="218" t="str">
        <f>IFERROR(HLOOKUP('Air Source Heat Pump(s)'!D829,'phius_monthly climate data'!$L$3:$CA$83,'phius_monthly climate data'!$CD842,FALSE),"")</f>
        <v/>
      </c>
      <c r="CD847" s="215">
        <v>845</v>
      </c>
    </row>
    <row r="848" spans="1:82" x14ac:dyDescent="0.35">
      <c r="A848" s="211" t="s">
        <v>77</v>
      </c>
      <c r="B848" s="211" t="s">
        <v>54</v>
      </c>
      <c r="C848" s="216" t="s">
        <v>896</v>
      </c>
      <c r="D848" s="222">
        <v>81.7</v>
      </c>
      <c r="E848" s="222">
        <v>7</v>
      </c>
      <c r="F848" s="211">
        <v>9</v>
      </c>
      <c r="I848" s="218" t="str">
        <f>IFERROR(HLOOKUP('Air Source Heat Pump(s)'!D830,'phius_monthly climate data'!$L$3:$CA$83,'phius_monthly climate data'!$CD843,FALSE),"")</f>
        <v/>
      </c>
      <c r="CD848" s="215">
        <v>846</v>
      </c>
    </row>
    <row r="849" spans="1:82" x14ac:dyDescent="0.35">
      <c r="A849" s="211" t="s">
        <v>77</v>
      </c>
      <c r="B849" s="211" t="s">
        <v>54</v>
      </c>
      <c r="C849" s="216" t="s">
        <v>897</v>
      </c>
      <c r="D849" s="222">
        <v>88.4</v>
      </c>
      <c r="E849" s="222">
        <v>14</v>
      </c>
      <c r="F849" s="211">
        <v>19</v>
      </c>
      <c r="I849" s="218" t="str">
        <f>IFERROR(HLOOKUP('Air Source Heat Pump(s)'!D831,'phius_monthly climate data'!$L$3:$CA$83,'phius_monthly climate data'!$CD844,FALSE),"")</f>
        <v/>
      </c>
      <c r="CD849" s="215">
        <v>847</v>
      </c>
    </row>
    <row r="850" spans="1:82" x14ac:dyDescent="0.35">
      <c r="A850" s="211" t="s">
        <v>77</v>
      </c>
      <c r="B850" s="211" t="s">
        <v>54</v>
      </c>
      <c r="C850" s="216" t="s">
        <v>898</v>
      </c>
      <c r="D850" s="222">
        <v>89.5</v>
      </c>
      <c r="E850" s="222">
        <v>15.7</v>
      </c>
      <c r="F850" s="211">
        <v>0</v>
      </c>
      <c r="I850" s="218" t="str">
        <f>IFERROR(HLOOKUP('Air Source Heat Pump(s)'!D832,'phius_monthly climate data'!$L$3:$CA$83,'phius_monthly climate data'!$CD845,FALSE),"")</f>
        <v/>
      </c>
      <c r="CD850" s="215">
        <v>848</v>
      </c>
    </row>
    <row r="851" spans="1:82" x14ac:dyDescent="0.35">
      <c r="A851" s="211" t="s">
        <v>77</v>
      </c>
      <c r="B851" s="211" t="s">
        <v>54</v>
      </c>
      <c r="C851" s="216" t="s">
        <v>899</v>
      </c>
      <c r="D851" s="222">
        <v>90.9</v>
      </c>
      <c r="E851" s="222">
        <v>18.600000000000001</v>
      </c>
      <c r="F851" s="211">
        <v>20</v>
      </c>
      <c r="I851" s="218" t="str">
        <f>IFERROR(HLOOKUP('Air Source Heat Pump(s)'!D833,'phius_monthly climate data'!$L$3:$CA$83,'phius_monthly climate data'!$CD846,FALSE),"")</f>
        <v/>
      </c>
      <c r="CD851" s="215">
        <v>849</v>
      </c>
    </row>
    <row r="852" spans="1:82" x14ac:dyDescent="0.35">
      <c r="A852" s="211" t="s">
        <v>77</v>
      </c>
      <c r="B852" s="211" t="s">
        <v>54</v>
      </c>
      <c r="C852" s="216" t="s">
        <v>900</v>
      </c>
      <c r="D852" s="222">
        <v>90.5</v>
      </c>
      <c r="E852" s="222">
        <v>17.7</v>
      </c>
      <c r="F852" s="211">
        <v>10</v>
      </c>
      <c r="I852" s="218" t="str">
        <f>IFERROR(HLOOKUP('Air Source Heat Pump(s)'!D834,'phius_monthly climate data'!$L$3:$CA$83,'phius_monthly climate data'!$CD847,FALSE),"")</f>
        <v/>
      </c>
      <c r="CD852" s="215">
        <v>850</v>
      </c>
    </row>
    <row r="853" spans="1:82" x14ac:dyDescent="0.35">
      <c r="A853" s="211" t="s">
        <v>77</v>
      </c>
      <c r="B853" s="211" t="s">
        <v>54</v>
      </c>
      <c r="C853" s="216" t="s">
        <v>901</v>
      </c>
      <c r="D853" s="222">
        <v>86.5</v>
      </c>
      <c r="E853" s="222">
        <v>10.9</v>
      </c>
      <c r="F853" s="211">
        <v>16</v>
      </c>
      <c r="I853" s="218" t="str">
        <f>IFERROR(HLOOKUP('Air Source Heat Pump(s)'!D835,'phius_monthly climate data'!$L$3:$CA$83,'phius_monthly climate data'!$CD848,FALSE),"")</f>
        <v/>
      </c>
      <c r="CD853" s="215">
        <v>851</v>
      </c>
    </row>
    <row r="854" spans="1:82" x14ac:dyDescent="0.35">
      <c r="A854" s="211" t="s">
        <v>77</v>
      </c>
      <c r="B854" s="211" t="s">
        <v>54</v>
      </c>
      <c r="C854" s="216" t="s">
        <v>902</v>
      </c>
      <c r="D854" s="222">
        <v>86.6</v>
      </c>
      <c r="E854" s="222">
        <v>10.4</v>
      </c>
      <c r="F854" s="211">
        <v>12</v>
      </c>
      <c r="I854" s="218" t="str">
        <f>IFERROR(HLOOKUP('Air Source Heat Pump(s)'!D836,'phius_monthly climate data'!$L$3:$CA$83,'phius_monthly climate data'!$CD849,FALSE),"")</f>
        <v/>
      </c>
      <c r="CD854" s="215">
        <v>852</v>
      </c>
    </row>
    <row r="855" spans="1:82" x14ac:dyDescent="0.35">
      <c r="A855" s="211" t="s">
        <v>77</v>
      </c>
      <c r="B855" s="211" t="s">
        <v>54</v>
      </c>
      <c r="C855" s="216" t="s">
        <v>903</v>
      </c>
      <c r="D855" s="222">
        <v>89.7</v>
      </c>
      <c r="E855" s="222">
        <v>14.2</v>
      </c>
      <c r="F855" s="211">
        <v>11</v>
      </c>
      <c r="I855" s="218" t="str">
        <f>IFERROR(HLOOKUP('Air Source Heat Pump(s)'!D837,'phius_monthly climate data'!$L$3:$CA$83,'phius_monthly climate data'!$CD850,FALSE),"")</f>
        <v/>
      </c>
      <c r="CD855" s="215">
        <v>853</v>
      </c>
    </row>
    <row r="856" spans="1:82" x14ac:dyDescent="0.35">
      <c r="A856" s="211" t="s">
        <v>77</v>
      </c>
      <c r="B856" s="211" t="s">
        <v>54</v>
      </c>
      <c r="C856" s="216" t="s">
        <v>904</v>
      </c>
      <c r="D856" s="222">
        <v>85.9</v>
      </c>
      <c r="E856" s="222">
        <v>10.199999999999999</v>
      </c>
      <c r="F856" s="211">
        <v>9</v>
      </c>
      <c r="I856" s="218" t="str">
        <f>IFERROR(HLOOKUP('Air Source Heat Pump(s)'!D838,'phius_monthly climate data'!$L$3:$CA$83,'phius_monthly climate data'!$CD851,FALSE),"")</f>
        <v/>
      </c>
      <c r="CD856" s="215">
        <v>854</v>
      </c>
    </row>
    <row r="857" spans="1:82" x14ac:dyDescent="0.35">
      <c r="A857" s="211" t="s">
        <v>77</v>
      </c>
      <c r="B857" s="211" t="s">
        <v>54</v>
      </c>
      <c r="C857" s="216" t="s">
        <v>905</v>
      </c>
      <c r="D857" s="222">
        <v>85.5</v>
      </c>
      <c r="E857" s="222">
        <v>8.8000000000000007</v>
      </c>
      <c r="F857" s="211">
        <v>14</v>
      </c>
      <c r="I857" s="218" t="str">
        <f>IFERROR(HLOOKUP('Air Source Heat Pump(s)'!D839,'phius_monthly climate data'!$L$3:$CA$83,'phius_monthly climate data'!$CD852,FALSE),"")</f>
        <v/>
      </c>
      <c r="CD857" s="215">
        <v>855</v>
      </c>
    </row>
    <row r="858" spans="1:82" x14ac:dyDescent="0.35">
      <c r="A858" s="211" t="s">
        <v>77</v>
      </c>
      <c r="B858" s="211" t="s">
        <v>54</v>
      </c>
      <c r="C858" s="216" t="s">
        <v>906</v>
      </c>
      <c r="D858" s="222">
        <v>86.2</v>
      </c>
      <c r="E858" s="222">
        <v>9.4</v>
      </c>
      <c r="F858" s="211">
        <v>15</v>
      </c>
      <c r="I858" s="218" t="str">
        <f>IFERROR(HLOOKUP('Air Source Heat Pump(s)'!D840,'phius_monthly climate data'!$L$3:$CA$83,'phius_monthly climate data'!$CD853,FALSE),"")</f>
        <v/>
      </c>
      <c r="CD858" s="215">
        <v>856</v>
      </c>
    </row>
    <row r="859" spans="1:82" x14ac:dyDescent="0.35">
      <c r="A859" s="211" t="s">
        <v>77</v>
      </c>
      <c r="B859" s="211" t="s">
        <v>54</v>
      </c>
      <c r="C859" s="216" t="s">
        <v>907</v>
      </c>
      <c r="D859" s="222">
        <v>87.9</v>
      </c>
      <c r="E859" s="222">
        <v>10.7</v>
      </c>
      <c r="F859" s="211">
        <v>10</v>
      </c>
      <c r="I859" s="218" t="str">
        <f>IFERROR(HLOOKUP('Air Source Heat Pump(s)'!D841,'phius_monthly climate data'!$L$3:$CA$83,'phius_monthly climate data'!$CD854,FALSE),"")</f>
        <v/>
      </c>
      <c r="CD859" s="215">
        <v>857</v>
      </c>
    </row>
    <row r="860" spans="1:82" x14ac:dyDescent="0.35">
      <c r="A860" s="211" t="s">
        <v>77</v>
      </c>
      <c r="B860" s="211" t="s">
        <v>54</v>
      </c>
      <c r="C860" s="216" t="s">
        <v>908</v>
      </c>
      <c r="D860" s="222">
        <v>89.4</v>
      </c>
      <c r="E860" s="222">
        <v>16.600000000000001</v>
      </c>
      <c r="F860" s="211">
        <v>23</v>
      </c>
      <c r="I860" s="218" t="str">
        <f>IFERROR(HLOOKUP('Air Source Heat Pump(s)'!D842,'phius_monthly climate data'!$L$3:$CA$83,'phius_monthly climate data'!$CD855,FALSE),"")</f>
        <v/>
      </c>
      <c r="CD860" s="215">
        <v>858</v>
      </c>
    </row>
    <row r="861" spans="1:82" x14ac:dyDescent="0.35">
      <c r="A861" s="211" t="s">
        <v>72</v>
      </c>
      <c r="B861" s="211" t="s">
        <v>55</v>
      </c>
      <c r="C861" s="216" t="s">
        <v>909</v>
      </c>
      <c r="D861" s="222">
        <v>77.8</v>
      </c>
      <c r="E861" s="222">
        <v>0.1</v>
      </c>
      <c r="F861" s="211">
        <v>3</v>
      </c>
      <c r="I861" s="218" t="str">
        <f>IFERROR(HLOOKUP('Air Source Heat Pump(s)'!D843,'phius_monthly climate data'!$L$3:$CA$83,'phius_monthly climate data'!$CD856,FALSE),"")</f>
        <v/>
      </c>
      <c r="CD861" s="215">
        <v>859</v>
      </c>
    </row>
    <row r="862" spans="1:82" x14ac:dyDescent="0.35">
      <c r="A862" s="211" t="s">
        <v>72</v>
      </c>
      <c r="B862" s="211" t="s">
        <v>56</v>
      </c>
      <c r="C862" s="216" t="s">
        <v>910</v>
      </c>
      <c r="D862" s="222">
        <v>77.2</v>
      </c>
      <c r="E862" s="222">
        <v>-6.6</v>
      </c>
      <c r="F862" s="211">
        <v>-14</v>
      </c>
      <c r="I862" s="218" t="str">
        <f>IFERROR(HLOOKUP('Air Source Heat Pump(s)'!D844,'phius_monthly climate data'!$L$3:$CA$83,'phius_monthly climate data'!$CD857,FALSE),"")</f>
        <v/>
      </c>
      <c r="CD862" s="215">
        <v>860</v>
      </c>
    </row>
    <row r="863" spans="1:82" x14ac:dyDescent="0.35">
      <c r="A863" s="211" t="s">
        <v>72</v>
      </c>
      <c r="B863" s="211" t="s">
        <v>56</v>
      </c>
      <c r="C863" s="216" t="s">
        <v>911</v>
      </c>
      <c r="D863" s="222">
        <v>80.7</v>
      </c>
      <c r="E863" s="222">
        <v>-17.8</v>
      </c>
      <c r="F863" s="211">
        <v>-12</v>
      </c>
      <c r="I863" s="218" t="str">
        <f>IFERROR(HLOOKUP('Air Source Heat Pump(s)'!D845,'phius_monthly climate data'!$L$3:$CA$83,'phius_monthly climate data'!$CD858,FALSE),"")</f>
        <v/>
      </c>
      <c r="CD863" s="215">
        <v>861</v>
      </c>
    </row>
    <row r="864" spans="1:82" x14ac:dyDescent="0.35">
      <c r="A864" s="211" t="s">
        <v>72</v>
      </c>
      <c r="B864" s="211" t="s">
        <v>56</v>
      </c>
      <c r="C864" s="216" t="s">
        <v>912</v>
      </c>
      <c r="D864" s="222">
        <v>83.4</v>
      </c>
      <c r="E864" s="222">
        <v>-7.1</v>
      </c>
      <c r="F864" s="211">
        <v>-5</v>
      </c>
      <c r="I864" s="218" t="str">
        <f>IFERROR(HLOOKUP('Air Source Heat Pump(s)'!D846,'phius_monthly climate data'!$L$3:$CA$83,'phius_monthly climate data'!$CD859,FALSE),"")</f>
        <v/>
      </c>
      <c r="CD864" s="215">
        <v>862</v>
      </c>
    </row>
    <row r="865" spans="1:82" x14ac:dyDescent="0.35">
      <c r="A865" s="211" t="s">
        <v>72</v>
      </c>
      <c r="B865" s="211" t="s">
        <v>56</v>
      </c>
      <c r="C865" s="216" t="s">
        <v>913</v>
      </c>
      <c r="D865" s="222">
        <v>83.8</v>
      </c>
      <c r="E865" s="222">
        <v>-8.6</v>
      </c>
      <c r="F865" s="211">
        <v>-8</v>
      </c>
      <c r="I865" s="218" t="str">
        <f>IFERROR(HLOOKUP('Air Source Heat Pump(s)'!D847,'phius_monthly climate data'!$L$3:$CA$83,'phius_monthly climate data'!$CD860,FALSE),"")</f>
        <v/>
      </c>
      <c r="CD865" s="215">
        <v>863</v>
      </c>
    </row>
    <row r="866" spans="1:82" x14ac:dyDescent="0.35">
      <c r="A866" s="211" t="s">
        <v>72</v>
      </c>
      <c r="B866" s="211" t="s">
        <v>56</v>
      </c>
      <c r="C866" s="216" t="s">
        <v>914</v>
      </c>
      <c r="D866" s="222">
        <v>82.2</v>
      </c>
      <c r="E866" s="222">
        <v>-7.9</v>
      </c>
      <c r="F866" s="211">
        <v>-7</v>
      </c>
      <c r="I866" s="218" t="str">
        <f>IFERROR(HLOOKUP('Air Source Heat Pump(s)'!D848,'phius_monthly climate data'!$L$3:$CA$83,'phius_monthly climate data'!$CD861,FALSE),"")</f>
        <v/>
      </c>
      <c r="CD866" s="215">
        <v>864</v>
      </c>
    </row>
    <row r="867" spans="1:82" x14ac:dyDescent="0.35">
      <c r="A867" s="211" t="s">
        <v>72</v>
      </c>
      <c r="B867" s="211" t="s">
        <v>56</v>
      </c>
      <c r="C867" s="216" t="s">
        <v>915</v>
      </c>
      <c r="D867" s="222">
        <v>82.8</v>
      </c>
      <c r="E867" s="222">
        <v>-19</v>
      </c>
      <c r="F867" s="211">
        <v>-3</v>
      </c>
      <c r="I867" s="218" t="str">
        <f>IFERROR(HLOOKUP('Air Source Heat Pump(s)'!D849,'phius_monthly climate data'!$L$3:$CA$83,'phius_monthly climate data'!$CD862,FALSE),"")</f>
        <v/>
      </c>
      <c r="CD867" s="215">
        <v>865</v>
      </c>
    </row>
    <row r="868" spans="1:82" x14ac:dyDescent="0.35">
      <c r="A868" s="211" t="s">
        <v>72</v>
      </c>
      <c r="B868" s="211" t="s">
        <v>56</v>
      </c>
      <c r="C868" s="216" t="s">
        <v>916</v>
      </c>
      <c r="D868" s="222">
        <v>77.2</v>
      </c>
      <c r="E868" s="222">
        <v>-6.6</v>
      </c>
      <c r="F868" s="211">
        <v>-3</v>
      </c>
      <c r="I868" s="218" t="str">
        <f>IFERROR(HLOOKUP('Air Source Heat Pump(s)'!D850,'phius_monthly climate data'!$L$3:$CA$83,'phius_monthly climate data'!$CD863,FALSE),"")</f>
        <v/>
      </c>
      <c r="CD868" s="215">
        <v>866</v>
      </c>
    </row>
    <row r="869" spans="1:82" x14ac:dyDescent="0.35">
      <c r="A869" s="211" t="s">
        <v>72</v>
      </c>
      <c r="B869" s="211" t="s">
        <v>56</v>
      </c>
      <c r="C869" s="216" t="s">
        <v>917</v>
      </c>
      <c r="D869" s="222">
        <v>74.3</v>
      </c>
      <c r="E869" s="222">
        <v>-13.4</v>
      </c>
      <c r="F869" s="211">
        <v>-11</v>
      </c>
      <c r="I869" s="218" t="str">
        <f>IFERROR(HLOOKUP('Air Source Heat Pump(s)'!D851,'phius_monthly climate data'!$L$3:$CA$83,'phius_monthly climate data'!$CD864,FALSE),"")</f>
        <v/>
      </c>
      <c r="CD869" s="215">
        <v>867</v>
      </c>
    </row>
    <row r="870" spans="1:82" x14ac:dyDescent="0.35">
      <c r="A870" s="211" t="s">
        <v>72</v>
      </c>
      <c r="B870" s="211" t="s">
        <v>56</v>
      </c>
      <c r="C870" s="216" t="s">
        <v>918</v>
      </c>
      <c r="D870" s="222">
        <v>83.3</v>
      </c>
      <c r="E870" s="222">
        <v>-4.5999999999999996</v>
      </c>
      <c r="F870" s="211">
        <v>-1</v>
      </c>
      <c r="I870" s="218" t="str">
        <f>IFERROR(HLOOKUP('Air Source Heat Pump(s)'!D852,'phius_monthly climate data'!$L$3:$CA$83,'phius_monthly climate data'!$CD865,FALSE),"")</f>
        <v/>
      </c>
      <c r="CD870" s="215">
        <v>868</v>
      </c>
    </row>
    <row r="871" spans="1:82" x14ac:dyDescent="0.35">
      <c r="A871" s="211" t="s">
        <v>72</v>
      </c>
      <c r="B871" s="211" t="s">
        <v>56</v>
      </c>
      <c r="C871" s="216" t="s">
        <v>919</v>
      </c>
      <c r="D871" s="222">
        <v>82.4</v>
      </c>
      <c r="E871" s="222">
        <v>-9.3000000000000007</v>
      </c>
      <c r="F871" s="211">
        <v>-4</v>
      </c>
      <c r="I871" s="218" t="str">
        <f>IFERROR(HLOOKUP('Air Source Heat Pump(s)'!D853,'phius_monthly climate data'!$L$3:$CA$83,'phius_monthly climate data'!$CD866,FALSE),"")</f>
        <v/>
      </c>
      <c r="CD871" s="215">
        <v>869</v>
      </c>
    </row>
    <row r="872" spans="1:82" x14ac:dyDescent="0.35">
      <c r="A872" s="211" t="s">
        <v>72</v>
      </c>
      <c r="B872" s="211" t="s">
        <v>56</v>
      </c>
      <c r="C872" s="216" t="s">
        <v>920</v>
      </c>
      <c r="D872" s="222">
        <v>81</v>
      </c>
      <c r="E872" s="222">
        <v>-9</v>
      </c>
      <c r="F872" s="211">
        <v>-7</v>
      </c>
      <c r="I872" s="218" t="str">
        <f>IFERROR(HLOOKUP('Air Source Heat Pump(s)'!D854,'phius_monthly climate data'!$L$3:$CA$83,'phius_monthly climate data'!$CD867,FALSE),"")</f>
        <v/>
      </c>
      <c r="CD872" s="215">
        <v>870</v>
      </c>
    </row>
    <row r="873" spans="1:82" x14ac:dyDescent="0.35">
      <c r="A873" s="211" t="s">
        <v>72</v>
      </c>
      <c r="B873" s="211" t="s">
        <v>56</v>
      </c>
      <c r="C873" s="216" t="s">
        <v>921</v>
      </c>
      <c r="D873" s="222">
        <v>70.7</v>
      </c>
      <c r="E873" s="222">
        <v>-2.6</v>
      </c>
      <c r="F873" s="211">
        <v>-3</v>
      </c>
      <c r="I873" s="218" t="str">
        <f>IFERROR(HLOOKUP('Air Source Heat Pump(s)'!D855,'phius_monthly climate data'!$L$3:$CA$83,'phius_monthly climate data'!$CD868,FALSE),"")</f>
        <v/>
      </c>
      <c r="CD873" s="215">
        <v>871</v>
      </c>
    </row>
    <row r="874" spans="1:82" x14ac:dyDescent="0.35">
      <c r="A874" s="211" t="s">
        <v>72</v>
      </c>
      <c r="B874" s="211" t="s">
        <v>56</v>
      </c>
      <c r="C874" s="216" t="s">
        <v>922</v>
      </c>
      <c r="D874" s="222">
        <v>81.099999999999994</v>
      </c>
      <c r="E874" s="222">
        <v>-9.6</v>
      </c>
      <c r="F874" s="211">
        <v>-5</v>
      </c>
      <c r="I874" s="218" t="str">
        <f>IFERROR(HLOOKUP('Air Source Heat Pump(s)'!D856,'phius_monthly climate data'!$L$3:$CA$83,'phius_monthly climate data'!$CD869,FALSE),"")</f>
        <v/>
      </c>
      <c r="CD874" s="215">
        <v>872</v>
      </c>
    </row>
    <row r="875" spans="1:82" x14ac:dyDescent="0.35">
      <c r="A875" s="211" t="s">
        <v>72</v>
      </c>
      <c r="B875" s="211" t="s">
        <v>56</v>
      </c>
      <c r="C875" s="216" t="s">
        <v>923</v>
      </c>
      <c r="D875" s="222">
        <v>81.099999999999994</v>
      </c>
      <c r="E875" s="222">
        <v>-11.5</v>
      </c>
      <c r="F875" s="211">
        <v>-6</v>
      </c>
      <c r="I875" s="218" t="str">
        <f>IFERROR(HLOOKUP('Air Source Heat Pump(s)'!D857,'phius_monthly climate data'!$L$3:$CA$83,'phius_monthly climate data'!$CD870,FALSE),"")</f>
        <v/>
      </c>
      <c r="CD875" s="215">
        <v>873</v>
      </c>
    </row>
    <row r="876" spans="1:82" x14ac:dyDescent="0.35">
      <c r="A876" s="211" t="s">
        <v>72</v>
      </c>
      <c r="B876" s="211" t="s">
        <v>56</v>
      </c>
      <c r="C876" s="216" t="s">
        <v>924</v>
      </c>
      <c r="D876" s="222">
        <v>84.3</v>
      </c>
      <c r="E876" s="222">
        <v>-7</v>
      </c>
      <c r="F876" s="211">
        <v>-6</v>
      </c>
      <c r="I876" s="218" t="str">
        <f>IFERROR(HLOOKUP('Air Source Heat Pump(s)'!D858,'phius_monthly climate data'!$L$3:$CA$83,'phius_monthly climate data'!$CD871,FALSE),"")</f>
        <v/>
      </c>
      <c r="CD876" s="215">
        <v>874</v>
      </c>
    </row>
    <row r="877" spans="1:82" x14ac:dyDescent="0.35">
      <c r="A877" s="211" t="s">
        <v>72</v>
      </c>
      <c r="B877" s="211" t="s">
        <v>56</v>
      </c>
      <c r="C877" s="216" t="s">
        <v>925</v>
      </c>
      <c r="D877" s="222">
        <v>83.3</v>
      </c>
      <c r="E877" s="222">
        <v>-5.5</v>
      </c>
      <c r="F877" s="211">
        <v>-5</v>
      </c>
      <c r="I877" s="218" t="str">
        <f>IFERROR(HLOOKUP('Air Source Heat Pump(s)'!D859,'phius_monthly climate data'!$L$3:$CA$83,'phius_monthly climate data'!$CD872,FALSE),"")</f>
        <v/>
      </c>
      <c r="CD877" s="215">
        <v>875</v>
      </c>
    </row>
    <row r="878" spans="1:82" x14ac:dyDescent="0.35">
      <c r="A878" s="211" t="s">
        <v>72</v>
      </c>
      <c r="B878" s="211" t="s">
        <v>56</v>
      </c>
      <c r="C878" s="216" t="s">
        <v>926</v>
      </c>
      <c r="D878" s="222">
        <v>81.5</v>
      </c>
      <c r="E878" s="222">
        <v>-6.9</v>
      </c>
      <c r="F878" s="211">
        <v>-5</v>
      </c>
      <c r="I878" s="218" t="str">
        <f>IFERROR(HLOOKUP('Air Source Heat Pump(s)'!D860,'phius_monthly climate data'!$L$3:$CA$83,'phius_monthly climate data'!$CD873,FALSE),"")</f>
        <v/>
      </c>
      <c r="CD878" s="215">
        <v>876</v>
      </c>
    </row>
    <row r="879" spans="1:82" x14ac:dyDescent="0.35">
      <c r="A879" s="211" t="s">
        <v>72</v>
      </c>
      <c r="B879" s="211" t="s">
        <v>56</v>
      </c>
      <c r="C879" s="216" t="s">
        <v>927</v>
      </c>
      <c r="D879" s="222">
        <v>79</v>
      </c>
      <c r="E879" s="222">
        <v>-6.8</v>
      </c>
      <c r="F879" s="211">
        <v>-5</v>
      </c>
      <c r="I879" s="218" t="str">
        <f>IFERROR(HLOOKUP('Air Source Heat Pump(s)'!D861,'phius_monthly climate data'!$L$3:$CA$83,'phius_monthly climate data'!$CD874,FALSE),"")</f>
        <v/>
      </c>
      <c r="CD879" s="215">
        <v>877</v>
      </c>
    </row>
    <row r="880" spans="1:82" x14ac:dyDescent="0.35">
      <c r="A880" s="211" t="s">
        <v>72</v>
      </c>
      <c r="B880" s="211" t="s">
        <v>56</v>
      </c>
      <c r="C880" s="216" t="s">
        <v>928</v>
      </c>
      <c r="D880" s="222">
        <v>83.5</v>
      </c>
      <c r="E880" s="222">
        <v>-5.7</v>
      </c>
      <c r="F880" s="211">
        <v>-6</v>
      </c>
      <c r="I880" s="218" t="str">
        <f>IFERROR(HLOOKUP('Air Source Heat Pump(s)'!D862,'phius_monthly climate data'!$L$3:$CA$83,'phius_monthly climate data'!$CD875,FALSE),"")</f>
        <v/>
      </c>
      <c r="CD880" s="215">
        <v>878</v>
      </c>
    </row>
    <row r="881" spans="1:82" x14ac:dyDescent="0.35">
      <c r="A881" s="211" t="s">
        <v>77</v>
      </c>
      <c r="B881" s="211" t="s">
        <v>57</v>
      </c>
      <c r="C881" s="216" t="s">
        <v>929</v>
      </c>
      <c r="D881" s="222">
        <v>80.5</v>
      </c>
      <c r="E881" s="222">
        <v>17.600000000000001</v>
      </c>
      <c r="F881" s="211">
        <v>28</v>
      </c>
      <c r="I881" s="218" t="str">
        <f>IFERROR(HLOOKUP('Air Source Heat Pump(s)'!D863,'phius_monthly climate data'!$L$3:$CA$83,'phius_monthly climate data'!$CD876,FALSE),"")</f>
        <v/>
      </c>
      <c r="CD881" s="215">
        <v>879</v>
      </c>
    </row>
    <row r="882" spans="1:82" x14ac:dyDescent="0.35">
      <c r="A882" s="211" t="s">
        <v>77</v>
      </c>
      <c r="B882" s="211" t="s">
        <v>57</v>
      </c>
      <c r="C882" s="216" t="s">
        <v>930</v>
      </c>
      <c r="D882" s="222">
        <v>84.1</v>
      </c>
      <c r="E882" s="222">
        <v>9.6</v>
      </c>
      <c r="F882" s="211">
        <v>10</v>
      </c>
      <c r="I882" s="218" t="str">
        <f>IFERROR(HLOOKUP('Air Source Heat Pump(s)'!D864,'phius_monthly climate data'!$L$3:$CA$83,'phius_monthly climate data'!$CD877,FALSE),"")</f>
        <v/>
      </c>
      <c r="CD882" s="215">
        <v>880</v>
      </c>
    </row>
    <row r="883" spans="1:82" x14ac:dyDescent="0.35">
      <c r="A883" s="211" t="s">
        <v>77</v>
      </c>
      <c r="B883" s="211" t="s">
        <v>57</v>
      </c>
      <c r="C883" s="216" t="s">
        <v>931</v>
      </c>
      <c r="D883" s="222">
        <v>86.7</v>
      </c>
      <c r="E883" s="222">
        <v>13.3</v>
      </c>
      <c r="F883" s="211">
        <v>17</v>
      </c>
      <c r="I883" s="218" t="str">
        <f>IFERROR(HLOOKUP('Air Source Heat Pump(s)'!D865,'phius_monthly climate data'!$L$3:$CA$83,'phius_monthly climate data'!$CD878,FALSE),"")</f>
        <v/>
      </c>
      <c r="CD883" s="215">
        <v>881</v>
      </c>
    </row>
    <row r="884" spans="1:82" x14ac:dyDescent="0.35">
      <c r="A884" s="211" t="s">
        <v>132</v>
      </c>
      <c r="B884" s="211" t="s">
        <v>58</v>
      </c>
      <c r="C884" s="216" t="s">
        <v>932</v>
      </c>
      <c r="D884" s="222">
        <v>111.1</v>
      </c>
      <c r="E884" s="222">
        <v>46</v>
      </c>
      <c r="F884" s="211">
        <v>49</v>
      </c>
      <c r="I884" s="218" t="str">
        <f>IFERROR(HLOOKUP('Air Source Heat Pump(s)'!D866,'phius_monthly climate data'!$L$3:$CA$83,'phius_monthly climate data'!$CD879,FALSE),"")</f>
        <v/>
      </c>
      <c r="CD884" s="215">
        <v>882</v>
      </c>
    </row>
    <row r="885" spans="1:82" x14ac:dyDescent="0.35">
      <c r="A885" s="211" t="s">
        <v>77</v>
      </c>
      <c r="B885" s="211" t="s">
        <v>59</v>
      </c>
      <c r="C885" s="216" t="s">
        <v>933</v>
      </c>
      <c r="D885" s="222">
        <v>92.8</v>
      </c>
      <c r="E885" s="222">
        <v>25.9</v>
      </c>
      <c r="F885" s="211">
        <v>24</v>
      </c>
      <c r="I885" s="218" t="str">
        <f>IFERROR(HLOOKUP('Air Source Heat Pump(s)'!D867,'phius_monthly climate data'!$L$3:$CA$83,'phius_monthly climate data'!$CD880,FALSE),"")</f>
        <v/>
      </c>
      <c r="CD885" s="215">
        <v>883</v>
      </c>
    </row>
    <row r="886" spans="1:82" x14ac:dyDescent="0.35">
      <c r="A886" s="211" t="s">
        <v>77</v>
      </c>
      <c r="B886" s="211" t="s">
        <v>59</v>
      </c>
      <c r="C886" s="216" t="s">
        <v>934</v>
      </c>
      <c r="D886" s="222">
        <v>92.7</v>
      </c>
      <c r="E886" s="222">
        <v>31.8</v>
      </c>
      <c r="F886" s="211">
        <v>39</v>
      </c>
      <c r="I886" s="218" t="str">
        <f>IFERROR(HLOOKUP('Air Source Heat Pump(s)'!D868,'phius_monthly climate data'!$L$3:$CA$83,'phius_monthly climate data'!$CD881,FALSE),"")</f>
        <v/>
      </c>
      <c r="CD886" s="215">
        <v>884</v>
      </c>
    </row>
    <row r="887" spans="1:82" x14ac:dyDescent="0.35">
      <c r="A887" s="211" t="s">
        <v>77</v>
      </c>
      <c r="B887" s="211" t="s">
        <v>59</v>
      </c>
      <c r="C887" s="216" t="s">
        <v>935</v>
      </c>
      <c r="D887" s="222">
        <v>92.2</v>
      </c>
      <c r="E887" s="222">
        <v>30.9</v>
      </c>
      <c r="F887" s="211">
        <v>35</v>
      </c>
      <c r="I887" s="218" t="str">
        <f>IFERROR(HLOOKUP('Air Source Heat Pump(s)'!D869,'phius_monthly climate data'!$L$3:$CA$83,'phius_monthly climate data'!$CD882,FALSE),"")</f>
        <v/>
      </c>
      <c r="CD887" s="215">
        <v>885</v>
      </c>
    </row>
    <row r="888" spans="1:82" x14ac:dyDescent="0.35">
      <c r="A888" s="211" t="s">
        <v>77</v>
      </c>
      <c r="B888" s="211" t="s">
        <v>59</v>
      </c>
      <c r="C888" s="216" t="s">
        <v>936</v>
      </c>
      <c r="D888" s="222">
        <v>94.6</v>
      </c>
      <c r="E888" s="222">
        <v>27</v>
      </c>
      <c r="F888" s="211">
        <v>31</v>
      </c>
      <c r="I888" s="218" t="str">
        <f>IFERROR(HLOOKUP('Air Source Heat Pump(s)'!D870,'phius_monthly climate data'!$L$3:$CA$83,'phius_monthly climate data'!$CD883,FALSE),"")</f>
        <v/>
      </c>
      <c r="CD888" s="215">
        <v>886</v>
      </c>
    </row>
    <row r="889" spans="1:82" x14ac:dyDescent="0.35">
      <c r="A889" s="211" t="s">
        <v>77</v>
      </c>
      <c r="B889" s="211" t="s">
        <v>59</v>
      </c>
      <c r="C889" s="216" t="s">
        <v>937</v>
      </c>
      <c r="D889" s="222">
        <v>93.5</v>
      </c>
      <c r="E889" s="222">
        <v>27.3</v>
      </c>
      <c r="F889" s="211">
        <v>36</v>
      </c>
      <c r="I889" s="218" t="str">
        <f>IFERROR(HLOOKUP('Air Source Heat Pump(s)'!D871,'phius_monthly climate data'!$L$3:$CA$83,'phius_monthly climate data'!$CD884,FALSE),"")</f>
        <v/>
      </c>
      <c r="CD889" s="215">
        <v>887</v>
      </c>
    </row>
    <row r="890" spans="1:82" x14ac:dyDescent="0.35">
      <c r="A890" s="211" t="s">
        <v>77</v>
      </c>
      <c r="B890" s="211" t="s">
        <v>59</v>
      </c>
      <c r="C890" s="216" t="s">
        <v>938</v>
      </c>
      <c r="D890" s="222">
        <v>91.3</v>
      </c>
      <c r="E890" s="222">
        <v>26.7</v>
      </c>
      <c r="F890" s="211">
        <v>21</v>
      </c>
      <c r="I890" s="218" t="str">
        <f>IFERROR(HLOOKUP('Air Source Heat Pump(s)'!D872,'phius_monthly climate data'!$L$3:$CA$83,'phius_monthly climate data'!$CD885,FALSE),"")</f>
        <v/>
      </c>
      <c r="CD890" s="215">
        <v>888</v>
      </c>
    </row>
    <row r="891" spans="1:82" x14ac:dyDescent="0.35">
      <c r="A891" s="211" t="s">
        <v>77</v>
      </c>
      <c r="B891" s="211" t="s">
        <v>59</v>
      </c>
      <c r="C891" s="216" t="s">
        <v>939</v>
      </c>
      <c r="D891" s="222">
        <v>91.8</v>
      </c>
      <c r="E891" s="222">
        <v>25.6</v>
      </c>
      <c r="F891" s="211">
        <v>30</v>
      </c>
      <c r="CD891" s="215">
        <v>889</v>
      </c>
    </row>
    <row r="892" spans="1:82" x14ac:dyDescent="0.35">
      <c r="A892" s="211" t="s">
        <v>77</v>
      </c>
      <c r="B892" s="211" t="s">
        <v>59</v>
      </c>
      <c r="C892" s="216" t="s">
        <v>940</v>
      </c>
      <c r="D892" s="222">
        <v>89.7</v>
      </c>
      <c r="E892" s="222">
        <v>28</v>
      </c>
      <c r="F892" s="211">
        <v>35</v>
      </c>
      <c r="I892" s="218" t="str">
        <f>IFERROR(HLOOKUP('Air Source Heat Pump(s)'!D873,'phius_monthly climate data'!$L$3:$CA$83,'phius_monthly climate data'!$CD887,FALSE),"")</f>
        <v/>
      </c>
      <c r="CD892" s="215">
        <v>890</v>
      </c>
    </row>
    <row r="893" spans="1:82" x14ac:dyDescent="0.35">
      <c r="A893" s="211" t="s">
        <v>77</v>
      </c>
      <c r="B893" s="211" t="s">
        <v>59</v>
      </c>
      <c r="C893" s="216" t="s">
        <v>1211</v>
      </c>
      <c r="D893" s="222">
        <v>88.5</v>
      </c>
      <c r="E893" s="222">
        <v>28.2</v>
      </c>
      <c r="F893" s="211">
        <v>34.159999999999997</v>
      </c>
      <c r="I893" s="218" t="str">
        <f>IFERROR(HLOOKUP('Air Source Heat Pump(s)'!D874,'phius_monthly climate data'!$L$3:$CA$83,'phius_monthly climate data'!$CD888,FALSE),"")</f>
        <v/>
      </c>
      <c r="CD893" s="215">
        <v>891</v>
      </c>
    </row>
    <row r="894" spans="1:82" x14ac:dyDescent="0.35">
      <c r="A894" s="211" t="s">
        <v>77</v>
      </c>
      <c r="B894" s="211" t="s">
        <v>59</v>
      </c>
      <c r="C894" s="216" t="s">
        <v>941</v>
      </c>
      <c r="D894" s="222">
        <v>93.4</v>
      </c>
      <c r="E894" s="222">
        <v>27.2</v>
      </c>
      <c r="F894" s="211">
        <v>27</v>
      </c>
      <c r="I894" s="218" t="str">
        <f>IFERROR(HLOOKUP('Air Source Heat Pump(s)'!D875,'phius_monthly climate data'!$L$3:$CA$83,'phius_monthly climate data'!$CD889,FALSE),"")</f>
        <v/>
      </c>
      <c r="CD894" s="215">
        <v>892</v>
      </c>
    </row>
    <row r="895" spans="1:82" x14ac:dyDescent="0.35">
      <c r="A895" s="211" t="s">
        <v>77</v>
      </c>
      <c r="B895" s="211" t="s">
        <v>60</v>
      </c>
      <c r="C895" s="216" t="s">
        <v>942</v>
      </c>
      <c r="D895" s="222">
        <v>87.6</v>
      </c>
      <c r="E895" s="222">
        <v>-11.9</v>
      </c>
      <c r="F895" s="211">
        <v>-15</v>
      </c>
      <c r="I895" s="218" t="str">
        <f>IFERROR(HLOOKUP('Air Source Heat Pump(s)'!D876,'phius_monthly climate data'!$L$3:$CA$83,'phius_monthly climate data'!$CD890,FALSE),"")</f>
        <v/>
      </c>
      <c r="CD895" s="215">
        <v>893</v>
      </c>
    </row>
    <row r="896" spans="1:82" x14ac:dyDescent="0.35">
      <c r="A896" s="211" t="s">
        <v>77</v>
      </c>
      <c r="B896" s="211" t="s">
        <v>60</v>
      </c>
      <c r="C896" s="216" t="s">
        <v>943</v>
      </c>
      <c r="D896" s="222">
        <v>85.9</v>
      </c>
      <c r="E896" s="222">
        <v>-9</v>
      </c>
      <c r="F896" s="211">
        <v>0</v>
      </c>
      <c r="I896" s="218" t="str">
        <f>IFERROR(HLOOKUP('Air Source Heat Pump(s)'!D877,'phius_monthly climate data'!$L$3:$CA$83,'phius_monthly climate data'!$CD891,FALSE),"")</f>
        <v/>
      </c>
      <c r="CD896" s="215">
        <v>894</v>
      </c>
    </row>
    <row r="897" spans="1:82" x14ac:dyDescent="0.35">
      <c r="A897" s="211" t="s">
        <v>77</v>
      </c>
      <c r="B897" s="211" t="s">
        <v>60</v>
      </c>
      <c r="C897" s="216" t="s">
        <v>944</v>
      </c>
      <c r="D897" s="222">
        <v>90.1</v>
      </c>
      <c r="E897" s="222">
        <v>-2.4</v>
      </c>
      <c r="F897" s="211">
        <v>-7</v>
      </c>
      <c r="I897" s="218" t="str">
        <f>IFERROR(HLOOKUP('Air Source Heat Pump(s)'!D878,'phius_monthly climate data'!$L$3:$CA$83,'phius_monthly climate data'!$CD892,FALSE),"")</f>
        <v/>
      </c>
      <c r="CD897" s="215">
        <v>895</v>
      </c>
    </row>
    <row r="898" spans="1:82" x14ac:dyDescent="0.35">
      <c r="A898" s="211" t="s">
        <v>77</v>
      </c>
      <c r="B898" s="211" t="s">
        <v>60</v>
      </c>
      <c r="C898" s="216" t="s">
        <v>945</v>
      </c>
      <c r="D898" s="222">
        <v>91.4</v>
      </c>
      <c r="E898" s="222">
        <v>-2.8</v>
      </c>
      <c r="F898" s="211">
        <v>-5</v>
      </c>
      <c r="I898" s="218" t="str">
        <f>IFERROR(HLOOKUP('Air Source Heat Pump(s)'!D879,'phius_monthly climate data'!$L$3:$CA$83,'phius_monthly climate data'!$CD893,FALSE),"")</f>
        <v/>
      </c>
      <c r="CD898" s="215">
        <v>896</v>
      </c>
    </row>
    <row r="899" spans="1:82" x14ac:dyDescent="0.35">
      <c r="A899" s="211" t="s">
        <v>77</v>
      </c>
      <c r="B899" s="211" t="s">
        <v>60</v>
      </c>
      <c r="C899" s="216" t="s">
        <v>946</v>
      </c>
      <c r="D899" s="222">
        <v>90</v>
      </c>
      <c r="E899" s="222">
        <v>-8.1999999999999993</v>
      </c>
      <c r="F899" s="211">
        <v>-9</v>
      </c>
      <c r="I899" s="218" t="str">
        <f>IFERROR(HLOOKUP('Air Source Heat Pump(s)'!D880,'phius_monthly climate data'!$L$3:$CA$83,'phius_monthly climate data'!$CD894,FALSE),"")</f>
        <v/>
      </c>
      <c r="CD899" s="215">
        <v>897</v>
      </c>
    </row>
    <row r="900" spans="1:82" x14ac:dyDescent="0.35">
      <c r="A900" s="211" t="s">
        <v>77</v>
      </c>
      <c r="B900" s="211" t="s">
        <v>60</v>
      </c>
      <c r="C900" s="216" t="s">
        <v>947</v>
      </c>
      <c r="D900" s="222">
        <v>90.4</v>
      </c>
      <c r="E900" s="222">
        <v>-5.8</v>
      </c>
      <c r="F900" s="211">
        <v>-13</v>
      </c>
      <c r="I900" s="218" t="str">
        <f>IFERROR(HLOOKUP('Air Source Heat Pump(s)'!D881,'phius_monthly climate data'!$L$3:$CA$83,'phius_monthly climate data'!$CD895,FALSE),"")</f>
        <v/>
      </c>
      <c r="CD900" s="215">
        <v>898</v>
      </c>
    </row>
    <row r="901" spans="1:82" x14ac:dyDescent="0.35">
      <c r="A901" s="211" t="s">
        <v>77</v>
      </c>
      <c r="B901" s="211" t="s">
        <v>60</v>
      </c>
      <c r="C901" s="216" t="s">
        <v>948</v>
      </c>
      <c r="D901" s="222">
        <v>90.9</v>
      </c>
      <c r="E901" s="222">
        <v>-8.6999999999999993</v>
      </c>
      <c r="F901" s="211">
        <v>-9</v>
      </c>
      <c r="I901" s="218" t="str">
        <f>IFERROR(HLOOKUP('Air Source Heat Pump(s)'!D882,'phius_monthly climate data'!$L$3:$CA$83,'phius_monthly climate data'!$CD896,FALSE),"")</f>
        <v/>
      </c>
      <c r="CD901" s="215">
        <v>899</v>
      </c>
    </row>
    <row r="902" spans="1:82" x14ac:dyDescent="0.35">
      <c r="A902" s="211" t="s">
        <v>77</v>
      </c>
      <c r="B902" s="211" t="s">
        <v>60</v>
      </c>
      <c r="C902" s="216" t="s">
        <v>949</v>
      </c>
      <c r="D902" s="222">
        <v>93.8</v>
      </c>
      <c r="E902" s="222">
        <v>-5</v>
      </c>
      <c r="F902" s="211">
        <v>-15</v>
      </c>
      <c r="I902" s="218" t="str">
        <f>IFERROR(HLOOKUP('Air Source Heat Pump(s)'!D883,'phius_monthly climate data'!$L$3:$CA$83,'phius_monthly climate data'!$CD897,FALSE),"")</f>
        <v/>
      </c>
      <c r="CD902" s="215">
        <v>900</v>
      </c>
    </row>
    <row r="903" spans="1:82" x14ac:dyDescent="0.35">
      <c r="A903" s="211" t="s">
        <v>77</v>
      </c>
      <c r="B903" s="211" t="s">
        <v>60</v>
      </c>
      <c r="C903" s="216" t="s">
        <v>950</v>
      </c>
      <c r="D903" s="222">
        <v>92.7</v>
      </c>
      <c r="E903" s="222">
        <v>-3.4</v>
      </c>
      <c r="F903" s="211">
        <v>-2</v>
      </c>
      <c r="I903" s="218" t="str">
        <f>IFERROR(HLOOKUP('Air Source Heat Pump(s)'!D884,'phius_monthly climate data'!$L$3:$CA$83,'phius_monthly climate data'!$CD898,FALSE),"")</f>
        <v/>
      </c>
      <c r="CD903" s="215">
        <v>901</v>
      </c>
    </row>
    <row r="904" spans="1:82" x14ac:dyDescent="0.35">
      <c r="A904" s="211" t="s">
        <v>77</v>
      </c>
      <c r="B904" s="211" t="s">
        <v>60</v>
      </c>
      <c r="C904" s="216" t="s">
        <v>951</v>
      </c>
      <c r="D904" s="222">
        <v>88.4</v>
      </c>
      <c r="E904" s="222">
        <v>-6.5</v>
      </c>
      <c r="F904" s="211">
        <v>-7</v>
      </c>
      <c r="I904" s="218" t="str">
        <f>IFERROR(HLOOKUP('Air Source Heat Pump(s)'!D885,'phius_monthly climate data'!$L$3:$CA$83,'phius_monthly climate data'!$CD899,FALSE),"")</f>
        <v/>
      </c>
      <c r="CD904" s="215">
        <v>902</v>
      </c>
    </row>
    <row r="905" spans="1:82" x14ac:dyDescent="0.35">
      <c r="A905" s="211" t="s">
        <v>77</v>
      </c>
      <c r="B905" s="211" t="s">
        <v>60</v>
      </c>
      <c r="C905" s="216" t="s">
        <v>952</v>
      </c>
      <c r="D905" s="222">
        <v>86.4</v>
      </c>
      <c r="E905" s="222">
        <v>-10.6</v>
      </c>
      <c r="F905" s="211">
        <v>-15</v>
      </c>
      <c r="I905" s="218" t="str">
        <f>IFERROR(HLOOKUP('Air Source Heat Pump(s)'!D886,'phius_monthly climate data'!$L$3:$CA$83,'phius_monthly climate data'!$CD900,FALSE),"")</f>
        <v/>
      </c>
      <c r="CD905" s="215">
        <v>903</v>
      </c>
    </row>
    <row r="906" spans="1:82" x14ac:dyDescent="0.35">
      <c r="A906" s="211" t="s">
        <v>72</v>
      </c>
      <c r="B906" s="211" t="s">
        <v>61</v>
      </c>
      <c r="C906" s="216" t="s">
        <v>953</v>
      </c>
      <c r="D906" s="222">
        <v>85.4</v>
      </c>
      <c r="E906" s="222">
        <v>-17.3</v>
      </c>
      <c r="F906" s="211">
        <v>-18</v>
      </c>
      <c r="I906" s="218" t="str">
        <f>IFERROR(HLOOKUP('Air Source Heat Pump(s)'!D887,'phius_monthly climate data'!$L$3:$CA$83,'phius_monthly climate data'!$CD901,FALSE),"")</f>
        <v/>
      </c>
      <c r="CD906" s="215">
        <v>904</v>
      </c>
    </row>
    <row r="907" spans="1:82" x14ac:dyDescent="0.35">
      <c r="A907" s="211" t="s">
        <v>72</v>
      </c>
      <c r="B907" s="211" t="s">
        <v>61</v>
      </c>
      <c r="C907" s="216" t="s">
        <v>954</v>
      </c>
      <c r="D907" s="222">
        <v>80.599999999999994</v>
      </c>
      <c r="E907" s="222">
        <v>-26.3</v>
      </c>
      <c r="F907" s="211">
        <v>-22</v>
      </c>
      <c r="I907" s="218" t="str">
        <f>IFERROR(HLOOKUP('Air Source Heat Pump(s)'!D888,'phius_monthly climate data'!$L$3:$CA$83,'phius_monthly climate data'!$CD902,FALSE),"")</f>
        <v/>
      </c>
      <c r="CD907" s="215">
        <v>905</v>
      </c>
    </row>
    <row r="908" spans="1:82" x14ac:dyDescent="0.35">
      <c r="A908" s="211" t="s">
        <v>72</v>
      </c>
      <c r="B908" s="211" t="s">
        <v>61</v>
      </c>
      <c r="C908" s="216" t="s">
        <v>955</v>
      </c>
      <c r="D908" s="222">
        <v>83.9</v>
      </c>
      <c r="E908" s="222">
        <v>-21.2</v>
      </c>
      <c r="F908" s="211">
        <v>-19</v>
      </c>
      <c r="I908" s="218" t="str">
        <f>IFERROR(HLOOKUP('Air Source Heat Pump(s)'!D889,'phius_monthly climate data'!$L$3:$CA$83,'phius_monthly climate data'!$CD903,FALSE),"")</f>
        <v/>
      </c>
      <c r="CD908" s="215">
        <v>906</v>
      </c>
    </row>
    <row r="909" spans="1:82" x14ac:dyDescent="0.35">
      <c r="A909" s="211" t="s">
        <v>72</v>
      </c>
      <c r="B909" s="211" t="s">
        <v>61</v>
      </c>
      <c r="C909" s="216" t="s">
        <v>956</v>
      </c>
      <c r="D909" s="222">
        <v>82.8</v>
      </c>
      <c r="E909" s="222">
        <v>-24</v>
      </c>
      <c r="F909" s="211">
        <v>-19</v>
      </c>
      <c r="I909" s="218" t="str">
        <f>IFERROR(HLOOKUP('Air Source Heat Pump(s)'!D890,'phius_monthly climate data'!$L$3:$CA$83,'phius_monthly climate data'!$CD904,FALSE),"")</f>
        <v/>
      </c>
      <c r="CD909" s="215">
        <v>907</v>
      </c>
    </row>
    <row r="910" spans="1:82" x14ac:dyDescent="0.35">
      <c r="A910" s="211" t="s">
        <v>77</v>
      </c>
      <c r="B910" s="211" t="s">
        <v>62</v>
      </c>
      <c r="C910" s="216" t="s">
        <v>957</v>
      </c>
      <c r="D910" s="222">
        <v>88</v>
      </c>
      <c r="E910" s="222">
        <v>17.899999999999999</v>
      </c>
      <c r="F910" s="211">
        <v>21</v>
      </c>
      <c r="I910" s="218" t="str">
        <f>IFERROR(HLOOKUP('Air Source Heat Pump(s)'!D891,'phius_monthly climate data'!$L$3:$CA$83,'phius_monthly climate data'!$CD905,FALSE),"")</f>
        <v/>
      </c>
      <c r="CD910" s="215">
        <v>908</v>
      </c>
    </row>
    <row r="911" spans="1:82" x14ac:dyDescent="0.35">
      <c r="A911" s="211" t="s">
        <v>77</v>
      </c>
      <c r="B911" s="211" t="s">
        <v>62</v>
      </c>
      <c r="C911" s="216" t="s">
        <v>958</v>
      </c>
      <c r="D911" s="222">
        <v>92.6</v>
      </c>
      <c r="E911" s="222">
        <v>23.7</v>
      </c>
      <c r="F911" s="211">
        <v>29</v>
      </c>
      <c r="I911" s="218" t="str">
        <f>IFERROR(HLOOKUP('Air Source Heat Pump(s)'!D892,'phius_monthly climate data'!$L$3:$CA$83,'phius_monthly climate data'!$CD906,FALSE),"")</f>
        <v/>
      </c>
      <c r="CD911" s="215">
        <v>909</v>
      </c>
    </row>
    <row r="912" spans="1:82" x14ac:dyDescent="0.35">
      <c r="A912" s="211" t="s">
        <v>77</v>
      </c>
      <c r="B912" s="211" t="s">
        <v>62</v>
      </c>
      <c r="C912" s="216" t="s">
        <v>959</v>
      </c>
      <c r="D912" s="222">
        <v>86.2</v>
      </c>
      <c r="E912" s="222">
        <v>16.399999999999999</v>
      </c>
      <c r="F912" s="211">
        <v>26</v>
      </c>
      <c r="I912" s="218" t="str">
        <f>IFERROR(HLOOKUP('Air Source Heat Pump(s)'!D893,'phius_monthly climate data'!$L$3:$CA$83,'phius_monthly climate data'!$CD907,FALSE),"")</f>
        <v/>
      </c>
      <c r="CD912" s="215">
        <v>910</v>
      </c>
    </row>
    <row r="913" spans="1:82" x14ac:dyDescent="0.35">
      <c r="A913" s="211" t="s">
        <v>77</v>
      </c>
      <c r="B913" s="211" t="s">
        <v>62</v>
      </c>
      <c r="C913" s="216" t="s">
        <v>960</v>
      </c>
      <c r="D913" s="222">
        <v>92.9</v>
      </c>
      <c r="E913" s="222">
        <v>19.2</v>
      </c>
      <c r="F913" s="211">
        <v>13</v>
      </c>
      <c r="I913" s="218" t="str">
        <f>IFERROR(HLOOKUP('Air Source Heat Pump(s)'!D894,'phius_monthly climate data'!$L$3:$CA$83,'phius_monthly climate data'!$CD908,FALSE),"")</f>
        <v/>
      </c>
      <c r="CD913" s="215">
        <v>911</v>
      </c>
    </row>
    <row r="914" spans="1:82" x14ac:dyDescent="0.35">
      <c r="A914" s="211" t="s">
        <v>77</v>
      </c>
      <c r="B914" s="211" t="s">
        <v>62</v>
      </c>
      <c r="C914" s="216" t="s">
        <v>961</v>
      </c>
      <c r="D914" s="222">
        <v>92.8</v>
      </c>
      <c r="E914" s="222">
        <v>19.899999999999999</v>
      </c>
      <c r="F914" s="211">
        <v>13</v>
      </c>
      <c r="I914" s="218" t="str">
        <f>IFERROR(HLOOKUP('Air Source Heat Pump(s)'!D895,'phius_monthly climate data'!$L$3:$CA$83,'phius_monthly climate data'!$CD909,FALSE),"")</f>
        <v/>
      </c>
      <c r="CD914" s="215">
        <v>912</v>
      </c>
    </row>
    <row r="915" spans="1:82" x14ac:dyDescent="0.35">
      <c r="A915" s="211" t="s">
        <v>77</v>
      </c>
      <c r="B915" s="211" t="s">
        <v>62</v>
      </c>
      <c r="C915" s="216" t="s">
        <v>962</v>
      </c>
      <c r="D915" s="222">
        <v>90.4</v>
      </c>
      <c r="E915" s="222">
        <v>21.6</v>
      </c>
      <c r="F915" s="211">
        <v>25</v>
      </c>
      <c r="I915" s="218" t="str">
        <f>IFERROR(HLOOKUP('Air Source Heat Pump(s)'!D896,'phius_monthly climate data'!$L$3:$CA$83,'phius_monthly climate data'!$CD910,FALSE),"")</f>
        <v/>
      </c>
      <c r="CD915" s="215">
        <v>913</v>
      </c>
    </row>
    <row r="916" spans="1:82" x14ac:dyDescent="0.35">
      <c r="A916" s="211" t="s">
        <v>77</v>
      </c>
      <c r="B916" s="211" t="s">
        <v>62</v>
      </c>
      <c r="C916" s="216" t="s">
        <v>963</v>
      </c>
      <c r="D916" s="222">
        <v>94.4</v>
      </c>
      <c r="E916" s="222">
        <v>23.8</v>
      </c>
      <c r="F916" s="211">
        <v>26</v>
      </c>
      <c r="I916" s="218" t="str">
        <f>IFERROR(HLOOKUP('Air Source Heat Pump(s)'!D897,'phius_monthly climate data'!$L$3:$CA$83,'phius_monthly climate data'!$CD911,FALSE),"")</f>
        <v/>
      </c>
      <c r="CD916" s="215">
        <v>914</v>
      </c>
    </row>
    <row r="917" spans="1:82" x14ac:dyDescent="0.35">
      <c r="A917" s="211" t="s">
        <v>77</v>
      </c>
      <c r="B917" s="211" t="s">
        <v>62</v>
      </c>
      <c r="C917" s="216" t="s">
        <v>964</v>
      </c>
      <c r="D917" s="222">
        <v>92.3</v>
      </c>
      <c r="E917" s="222">
        <v>19.899999999999999</v>
      </c>
      <c r="F917" s="211">
        <v>20</v>
      </c>
      <c r="I917" s="218" t="str">
        <f>IFERROR(HLOOKUP('Air Source Heat Pump(s)'!D898,'phius_monthly climate data'!$L$3:$CA$83,'phius_monthly climate data'!$CD912,FALSE),"")</f>
        <v/>
      </c>
      <c r="CD917" s="215">
        <v>915</v>
      </c>
    </row>
    <row r="918" spans="1:82" x14ac:dyDescent="0.35">
      <c r="A918" s="211" t="s">
        <v>77</v>
      </c>
      <c r="B918" s="211" t="s">
        <v>63</v>
      </c>
      <c r="C918" s="216" t="s">
        <v>965</v>
      </c>
      <c r="D918" s="222">
        <v>100.1</v>
      </c>
      <c r="E918" s="222">
        <v>23.4</v>
      </c>
      <c r="F918" s="211">
        <v>21</v>
      </c>
      <c r="I918" s="218" t="str">
        <f>IFERROR(HLOOKUP('Air Source Heat Pump(s)'!D899,'phius_monthly climate data'!$L$3:$CA$83,'phius_monthly climate data'!$CD913,FALSE),"")</f>
        <v/>
      </c>
      <c r="CD918" s="215">
        <v>916</v>
      </c>
    </row>
    <row r="919" spans="1:82" x14ac:dyDescent="0.35">
      <c r="A919" s="211" t="s">
        <v>77</v>
      </c>
      <c r="B919" s="211" t="s">
        <v>63</v>
      </c>
      <c r="C919" s="216" t="s">
        <v>966</v>
      </c>
      <c r="D919" s="222">
        <v>98.1</v>
      </c>
      <c r="E919" s="222">
        <v>24.6</v>
      </c>
      <c r="F919" s="211">
        <v>17</v>
      </c>
      <c r="I919" s="218" t="str">
        <f>IFERROR(HLOOKUP('Air Source Heat Pump(s)'!D900,'phius_monthly climate data'!$L$3:$CA$83,'phius_monthly climate data'!$CD914,FALSE),"")</f>
        <v/>
      </c>
      <c r="CD919" s="215">
        <v>917</v>
      </c>
    </row>
    <row r="920" spans="1:82" x14ac:dyDescent="0.35">
      <c r="A920" s="211" t="s">
        <v>77</v>
      </c>
      <c r="B920" s="211" t="s">
        <v>63</v>
      </c>
      <c r="C920" s="216" t="s">
        <v>967</v>
      </c>
      <c r="D920" s="222">
        <v>98.9</v>
      </c>
      <c r="E920" s="222">
        <v>37.200000000000003</v>
      </c>
      <c r="F920" s="211">
        <v>36</v>
      </c>
      <c r="CD920" s="215">
        <v>918</v>
      </c>
    </row>
    <row r="921" spans="1:82" x14ac:dyDescent="0.35">
      <c r="A921" s="211" t="s">
        <v>77</v>
      </c>
      <c r="B921" s="211" t="s">
        <v>63</v>
      </c>
      <c r="C921" s="216" t="s">
        <v>968</v>
      </c>
      <c r="D921" s="222">
        <v>95.8</v>
      </c>
      <c r="E921" s="222">
        <v>15.8</v>
      </c>
      <c r="F921" s="211">
        <v>25</v>
      </c>
      <c r="I921" s="218" t="str">
        <f>IFERROR(HLOOKUP('Air Source Heat Pump(s)'!D901,'phius_monthly climate data'!$L$3:$CA$83,'phius_monthly climate data'!$CD916,FALSE),"")</f>
        <v/>
      </c>
      <c r="CD921" s="215">
        <v>919</v>
      </c>
    </row>
    <row r="922" spans="1:82" x14ac:dyDescent="0.35">
      <c r="A922" s="211" t="s">
        <v>77</v>
      </c>
      <c r="B922" s="211" t="s">
        <v>63</v>
      </c>
      <c r="C922" s="216" t="s">
        <v>1202</v>
      </c>
      <c r="D922" s="222">
        <v>97.9</v>
      </c>
      <c r="E922" s="222">
        <v>32.4</v>
      </c>
      <c r="F922" s="211">
        <v>28</v>
      </c>
      <c r="I922" s="218" t="str">
        <f>IFERROR(HLOOKUP('Air Source Heat Pump(s)'!D902,'phius_monthly climate data'!$L$3:$CA$83,'phius_monthly climate data'!$CD917,FALSE),"")</f>
        <v/>
      </c>
      <c r="CD922" s="215">
        <v>920</v>
      </c>
    </row>
    <row r="923" spans="1:82" x14ac:dyDescent="0.35">
      <c r="A923" s="211" t="s">
        <v>77</v>
      </c>
      <c r="B923" s="211" t="s">
        <v>63</v>
      </c>
      <c r="C923" s="216" t="s">
        <v>969</v>
      </c>
      <c r="D923" s="222">
        <v>98.2</v>
      </c>
      <c r="E923" s="222">
        <v>30.2</v>
      </c>
      <c r="F923" s="211">
        <v>35</v>
      </c>
      <c r="I923" s="218" t="str">
        <f>IFERROR(HLOOKUP('Air Source Heat Pump(s)'!D904,'phius_monthly climate data'!$L$3:$CA$83,'phius_monthly climate data'!$CD918,FALSE),"")</f>
        <v/>
      </c>
      <c r="CD923" s="215">
        <v>921</v>
      </c>
    </row>
    <row r="924" spans="1:82" x14ac:dyDescent="0.35">
      <c r="A924" s="211" t="s">
        <v>77</v>
      </c>
      <c r="B924" s="211" t="s">
        <v>63</v>
      </c>
      <c r="C924" s="216" t="s">
        <v>970</v>
      </c>
      <c r="D924" s="222">
        <v>94.5</v>
      </c>
      <c r="E924" s="222">
        <v>42.5</v>
      </c>
      <c r="F924" s="211">
        <v>47</v>
      </c>
      <c r="I924" s="218" t="str">
        <f>IFERROR(HLOOKUP('Air Source Heat Pump(s)'!D905,'phius_monthly climate data'!$L$3:$CA$83,'phius_monthly climate data'!$CD919,FALSE),"")</f>
        <v/>
      </c>
      <c r="CD924" s="215">
        <v>922</v>
      </c>
    </row>
    <row r="925" spans="1:82" x14ac:dyDescent="0.35">
      <c r="A925" s="211" t="s">
        <v>77</v>
      </c>
      <c r="B925" s="211" t="s">
        <v>63</v>
      </c>
      <c r="C925" s="216" t="s">
        <v>971</v>
      </c>
      <c r="D925" s="222">
        <v>99.6</v>
      </c>
      <c r="E925" s="222">
        <v>21</v>
      </c>
      <c r="F925" s="211">
        <v>26</v>
      </c>
      <c r="I925" s="218" t="str">
        <f>IFERROR(HLOOKUP('Air Source Heat Pump(s)'!D906,'phius_monthly climate data'!$L$3:$CA$83,'phius_monthly climate data'!$CD920,FALSE),"")</f>
        <v/>
      </c>
      <c r="CD925" s="215">
        <v>923</v>
      </c>
    </row>
    <row r="926" spans="1:82" x14ac:dyDescent="0.35">
      <c r="A926" s="211" t="s">
        <v>77</v>
      </c>
      <c r="B926" s="211" t="s">
        <v>63</v>
      </c>
      <c r="C926" s="216" t="s">
        <v>972</v>
      </c>
      <c r="D926" s="222">
        <v>98</v>
      </c>
      <c r="E926" s="222">
        <v>31.7</v>
      </c>
      <c r="F926" s="211">
        <v>38</v>
      </c>
      <c r="I926" s="218" t="str">
        <f>IFERROR(HLOOKUP('Air Source Heat Pump(s)'!D907,'phius_monthly climate data'!$L$3:$CA$83,'phius_monthly climate data'!$CD921,FALSE),"")</f>
        <v/>
      </c>
      <c r="CD926" s="215">
        <v>924</v>
      </c>
    </row>
    <row r="927" spans="1:82" x14ac:dyDescent="0.35">
      <c r="A927" s="211" t="s">
        <v>77</v>
      </c>
      <c r="B927" s="211" t="s">
        <v>63</v>
      </c>
      <c r="C927" s="216" t="s">
        <v>973</v>
      </c>
      <c r="D927" s="222">
        <v>95.3</v>
      </c>
      <c r="E927" s="222">
        <v>38.299999999999997</v>
      </c>
      <c r="F927" s="211">
        <v>45</v>
      </c>
      <c r="I927" s="218" t="str">
        <f>IFERROR(HLOOKUP('Air Source Heat Pump(s)'!D908,'phius_monthly climate data'!$L$3:$CA$83,'phius_monthly climate data'!$CD922,FALSE),"")</f>
        <v/>
      </c>
      <c r="CD927" s="215">
        <v>925</v>
      </c>
    </row>
    <row r="928" spans="1:82" x14ac:dyDescent="0.35">
      <c r="A928" s="211" t="s">
        <v>77</v>
      </c>
      <c r="B928" s="211" t="s">
        <v>63</v>
      </c>
      <c r="C928" s="216" t="s">
        <v>974</v>
      </c>
      <c r="D928" s="222">
        <v>91.6</v>
      </c>
      <c r="E928" s="222">
        <v>41.5</v>
      </c>
      <c r="F928" s="211">
        <v>49</v>
      </c>
      <c r="I928" s="218" t="str">
        <f>IFERROR(HLOOKUP('Air Source Heat Pump(s)'!D909,'phius_monthly climate data'!$L$3:$CA$83,'phius_monthly climate data'!$CD923,FALSE),"")</f>
        <v/>
      </c>
      <c r="CD928" s="215">
        <v>926</v>
      </c>
    </row>
    <row r="929" spans="1:82" x14ac:dyDescent="0.35">
      <c r="A929" s="211" t="s">
        <v>77</v>
      </c>
      <c r="B929" s="211" t="s">
        <v>63</v>
      </c>
      <c r="C929" s="216" t="s">
        <v>975</v>
      </c>
      <c r="D929" s="222">
        <v>101.4</v>
      </c>
      <c r="E929" s="222">
        <v>35.4</v>
      </c>
      <c r="F929" s="211">
        <v>42</v>
      </c>
      <c r="I929" s="218" t="str">
        <f>IFERROR(HLOOKUP('Air Source Heat Pump(s)'!D910,'phius_monthly climate data'!$L$3:$CA$83,'phius_monthly climate data'!$CD924,FALSE),"")</f>
        <v/>
      </c>
      <c r="CD929" s="215">
        <v>927</v>
      </c>
    </row>
    <row r="930" spans="1:82" x14ac:dyDescent="0.35">
      <c r="A930" s="211" t="s">
        <v>77</v>
      </c>
      <c r="B930" s="211" t="s">
        <v>63</v>
      </c>
      <c r="C930" s="216" t="s">
        <v>976</v>
      </c>
      <c r="D930" s="222">
        <v>97.4</v>
      </c>
      <c r="E930" s="222">
        <v>25.1</v>
      </c>
      <c r="F930" s="211">
        <v>22</v>
      </c>
      <c r="I930" s="218" t="str">
        <f>IFERROR(HLOOKUP('Air Source Heat Pump(s)'!D910,'phius_monthly climate data'!$L$3:$CA$83,'phius_monthly climate data'!$CD925,FALSE),"")</f>
        <v/>
      </c>
      <c r="CD930" s="215">
        <v>928</v>
      </c>
    </row>
    <row r="931" spans="1:82" x14ac:dyDescent="0.35">
      <c r="A931" s="211" t="s">
        <v>77</v>
      </c>
      <c r="B931" s="211" t="s">
        <v>63</v>
      </c>
      <c r="C931" s="216" t="s">
        <v>977</v>
      </c>
      <c r="D931" s="222">
        <v>96</v>
      </c>
      <c r="E931" s="222">
        <v>13.4</v>
      </c>
      <c r="F931" s="211">
        <v>23</v>
      </c>
      <c r="I931" s="218" t="str">
        <f>IFERROR(HLOOKUP('Air Source Heat Pump(s)'!D911,'phius_monthly climate data'!$L$3:$CA$83,'phius_monthly climate data'!$CD926,FALSE),"")</f>
        <v/>
      </c>
      <c r="CD931" s="215">
        <v>929</v>
      </c>
    </row>
    <row r="932" spans="1:82" x14ac:dyDescent="0.35">
      <c r="A932" s="211" t="s">
        <v>77</v>
      </c>
      <c r="B932" s="211" t="s">
        <v>63</v>
      </c>
      <c r="C932" s="216" t="s">
        <v>1203</v>
      </c>
      <c r="D932" s="222">
        <v>99.4</v>
      </c>
      <c r="E932" s="222">
        <v>28</v>
      </c>
      <c r="F932" s="211">
        <v>23</v>
      </c>
      <c r="I932" s="218" t="str">
        <f>IFERROR(HLOOKUP('Air Source Heat Pump(s)'!D912,'phius_monthly climate data'!$L$3:$CA$83,'phius_monthly climate data'!$CD927,FALSE),"")</f>
        <v/>
      </c>
      <c r="CD932" s="215">
        <v>930</v>
      </c>
    </row>
    <row r="933" spans="1:82" x14ac:dyDescent="0.35">
      <c r="A933" s="211" t="s">
        <v>77</v>
      </c>
      <c r="B933" s="211" t="s">
        <v>63</v>
      </c>
      <c r="C933" s="216" t="s">
        <v>978</v>
      </c>
      <c r="D933" s="222">
        <v>99.1</v>
      </c>
      <c r="E933" s="222">
        <v>27.6</v>
      </c>
      <c r="F933" s="211">
        <v>32</v>
      </c>
      <c r="I933" s="218" t="str">
        <f>IFERROR(HLOOKUP('Air Source Heat Pump(s)'!D913,'phius_monthly climate data'!$L$3:$CA$83,'phius_monthly climate data'!$CD928,FALSE),"")</f>
        <v/>
      </c>
      <c r="CD933" s="215">
        <v>931</v>
      </c>
    </row>
    <row r="934" spans="1:82" x14ac:dyDescent="0.35">
      <c r="A934" s="211" t="s">
        <v>77</v>
      </c>
      <c r="B934" s="211" t="s">
        <v>63</v>
      </c>
      <c r="C934" s="216" t="s">
        <v>1205</v>
      </c>
      <c r="D934" s="222">
        <v>99.4</v>
      </c>
      <c r="E934" s="222">
        <v>28.5</v>
      </c>
      <c r="F934" s="211">
        <v>28.22</v>
      </c>
      <c r="I934" s="218" t="str">
        <f>IFERROR(HLOOKUP('Air Source Heat Pump(s)'!D914,'phius_monthly climate data'!$L$3:$CA$83,'phius_monthly climate data'!$CD929,FALSE),"")</f>
        <v/>
      </c>
      <c r="CD934" s="215">
        <v>932</v>
      </c>
    </row>
    <row r="935" spans="1:82" x14ac:dyDescent="0.35">
      <c r="A935" s="211" t="s">
        <v>77</v>
      </c>
      <c r="B935" s="211" t="s">
        <v>63</v>
      </c>
      <c r="C935" s="216" t="s">
        <v>1204</v>
      </c>
      <c r="D935" s="222">
        <v>99.4</v>
      </c>
      <c r="E935" s="222">
        <v>28</v>
      </c>
      <c r="F935" s="211">
        <v>24</v>
      </c>
      <c r="I935" s="218" t="str">
        <f>IFERROR(HLOOKUP('Air Source Heat Pump(s)'!D915,'phius_monthly climate data'!$L$3:$CA$83,'phius_monthly climate data'!$CD930,FALSE),"")</f>
        <v/>
      </c>
      <c r="CD935" s="215">
        <v>933</v>
      </c>
    </row>
    <row r="936" spans="1:82" x14ac:dyDescent="0.35">
      <c r="A936" s="211" t="s">
        <v>77</v>
      </c>
      <c r="B936" s="211" t="s">
        <v>63</v>
      </c>
      <c r="C936" s="216" t="s">
        <v>979</v>
      </c>
      <c r="D936" s="222">
        <v>100.1</v>
      </c>
      <c r="E936" s="222">
        <v>34.6</v>
      </c>
      <c r="F936" s="211">
        <v>45</v>
      </c>
      <c r="I936" s="218" t="str">
        <f>IFERROR(HLOOKUP('Air Source Heat Pump(s)'!D916,'phius_monthly climate data'!$L$3:$CA$83,'phius_monthly climate data'!$CD931,FALSE),"")</f>
        <v/>
      </c>
      <c r="CD936" s="215">
        <v>934</v>
      </c>
    </row>
    <row r="937" spans="1:82" x14ac:dyDescent="0.35">
      <c r="A937" s="211" t="s">
        <v>77</v>
      </c>
      <c r="B937" s="211" t="s">
        <v>63</v>
      </c>
      <c r="C937" s="216" t="s">
        <v>980</v>
      </c>
      <c r="D937" s="222">
        <v>102</v>
      </c>
      <c r="E937" s="222">
        <v>34.299999999999997</v>
      </c>
      <c r="F937" s="211">
        <v>47</v>
      </c>
      <c r="I937" s="218" t="str">
        <f>IFERROR(HLOOKUP('Air Source Heat Pump(s)'!D917,'phius_monthly climate data'!$L$3:$CA$83,'phius_monthly climate data'!$CD932,FALSE),"")</f>
        <v/>
      </c>
      <c r="CD937" s="215">
        <v>935</v>
      </c>
    </row>
    <row r="938" spans="1:82" x14ac:dyDescent="0.35">
      <c r="A938" s="211" t="s">
        <v>77</v>
      </c>
      <c r="B938" s="211" t="s">
        <v>63</v>
      </c>
      <c r="C938" s="216" t="s">
        <v>981</v>
      </c>
      <c r="D938" s="222">
        <v>98.9</v>
      </c>
      <c r="E938" s="222">
        <v>28</v>
      </c>
      <c r="F938" s="211">
        <v>25</v>
      </c>
      <c r="I938" s="218" t="str">
        <f>IFERROR(HLOOKUP('Air Source Heat Pump(s)'!D918,'phius_monthly climate data'!$L$3:$CA$83,'phius_monthly climate data'!$CD933,FALSE),"")</f>
        <v/>
      </c>
      <c r="CD938" s="215">
        <v>936</v>
      </c>
    </row>
    <row r="939" spans="1:82" x14ac:dyDescent="0.35">
      <c r="A939" s="211" t="s">
        <v>77</v>
      </c>
      <c r="B939" s="211" t="s">
        <v>63</v>
      </c>
      <c r="C939" s="216" t="s">
        <v>982</v>
      </c>
      <c r="D939" s="222">
        <v>98.8</v>
      </c>
      <c r="E939" s="222">
        <v>28.4</v>
      </c>
      <c r="F939" s="211">
        <v>37</v>
      </c>
      <c r="I939" s="218" t="str">
        <f>IFERROR(HLOOKUP('Air Source Heat Pump(s)'!D919,'phius_monthly climate data'!$L$3:$CA$83,'phius_monthly climate data'!$CD934,FALSE),"")</f>
        <v/>
      </c>
      <c r="CD939" s="215">
        <v>937</v>
      </c>
    </row>
    <row r="940" spans="1:82" x14ac:dyDescent="0.35">
      <c r="A940" s="211" t="s">
        <v>77</v>
      </c>
      <c r="B940" s="211" t="s">
        <v>63</v>
      </c>
      <c r="C940" s="216" t="s">
        <v>983</v>
      </c>
      <c r="D940" s="222">
        <v>99.4</v>
      </c>
      <c r="E940" s="222">
        <v>30.8</v>
      </c>
      <c r="F940" s="211">
        <v>36</v>
      </c>
      <c r="I940" s="218" t="str">
        <f>IFERROR(HLOOKUP('Air Source Heat Pump(s)'!D920,'phius_monthly climate data'!$L$3:$CA$83,'phius_monthly climate data'!$CD935,FALSE),"")</f>
        <v/>
      </c>
      <c r="CD940" s="215">
        <v>938</v>
      </c>
    </row>
    <row r="941" spans="1:82" x14ac:dyDescent="0.35">
      <c r="A941" s="211" t="s">
        <v>77</v>
      </c>
      <c r="B941" s="211" t="s">
        <v>63</v>
      </c>
      <c r="C941" s="216" t="s">
        <v>984</v>
      </c>
      <c r="D941" s="222">
        <v>100</v>
      </c>
      <c r="E941" s="222">
        <v>25.4</v>
      </c>
      <c r="F941" s="211">
        <v>28</v>
      </c>
      <c r="I941" s="218" t="str">
        <f>IFERROR(HLOOKUP('Air Source Heat Pump(s)'!D921,'phius_monthly climate data'!$L$3:$CA$83,'phius_monthly climate data'!$CD936,FALSE),"")</f>
        <v/>
      </c>
      <c r="CD941" s="215">
        <v>939</v>
      </c>
    </row>
    <row r="942" spans="1:82" x14ac:dyDescent="0.35">
      <c r="A942" s="211" t="s">
        <v>77</v>
      </c>
      <c r="B942" s="211" t="s">
        <v>63</v>
      </c>
      <c r="C942" s="216" t="s">
        <v>985</v>
      </c>
      <c r="D942" s="222">
        <v>99.3</v>
      </c>
      <c r="E942" s="222">
        <v>26.8</v>
      </c>
      <c r="F942" s="211">
        <v>35</v>
      </c>
      <c r="I942" s="218" t="str">
        <f>IFERROR(HLOOKUP('Air Source Heat Pump(s)'!D922,'phius_monthly climate data'!$L$3:$CA$83,'phius_monthly climate data'!$CD937,FALSE),"")</f>
        <v/>
      </c>
      <c r="CD942" s="215">
        <v>940</v>
      </c>
    </row>
    <row r="943" spans="1:82" x14ac:dyDescent="0.35">
      <c r="A943" s="211" t="s">
        <v>77</v>
      </c>
      <c r="B943" s="211" t="s">
        <v>63</v>
      </c>
      <c r="C943" s="216" t="s">
        <v>986</v>
      </c>
      <c r="D943" s="222">
        <v>100.2</v>
      </c>
      <c r="E943" s="222">
        <v>28.1</v>
      </c>
      <c r="F943" s="211">
        <v>32</v>
      </c>
      <c r="I943" s="218" t="str">
        <f>IFERROR(HLOOKUP('Air Source Heat Pump(s)'!D923,'phius_monthly climate data'!$L$3:$CA$83,'phius_monthly climate data'!$CD938,FALSE),"")</f>
        <v/>
      </c>
      <c r="CD943" s="215">
        <v>941</v>
      </c>
    </row>
    <row r="944" spans="1:82" x14ac:dyDescent="0.35">
      <c r="A944" s="211" t="s">
        <v>77</v>
      </c>
      <c r="B944" s="211" t="s">
        <v>63</v>
      </c>
      <c r="C944" s="216" t="s">
        <v>987</v>
      </c>
      <c r="D944" s="222">
        <v>90.9</v>
      </c>
      <c r="E944" s="222">
        <v>39.6</v>
      </c>
      <c r="F944" s="211">
        <v>44</v>
      </c>
      <c r="CD944" s="215">
        <v>942</v>
      </c>
    </row>
    <row r="945" spans="1:82" x14ac:dyDescent="0.35">
      <c r="A945" s="211" t="s">
        <v>77</v>
      </c>
      <c r="B945" s="211" t="s">
        <v>63</v>
      </c>
      <c r="C945" s="216" t="s">
        <v>988</v>
      </c>
      <c r="D945" s="222">
        <v>96.9</v>
      </c>
      <c r="E945" s="222">
        <v>28.3</v>
      </c>
      <c r="F945" s="211">
        <v>26</v>
      </c>
      <c r="I945" s="218" t="str">
        <f>IFERROR(HLOOKUP('Air Source Heat Pump(s)'!D924,'phius_monthly climate data'!$L$3:$CA$83,'phius_monthly climate data'!$CD940,FALSE),"")</f>
        <v/>
      </c>
      <c r="CD945" s="215">
        <v>943</v>
      </c>
    </row>
    <row r="946" spans="1:82" x14ac:dyDescent="0.35">
      <c r="A946" s="211" t="s">
        <v>77</v>
      </c>
      <c r="B946" s="211" t="s">
        <v>63</v>
      </c>
      <c r="C946" s="216" t="s">
        <v>1206</v>
      </c>
      <c r="D946" s="222">
        <v>98.9</v>
      </c>
      <c r="E946" s="222">
        <v>27.6</v>
      </c>
      <c r="F946" s="211">
        <v>29.3</v>
      </c>
      <c r="I946" s="218" t="str">
        <f>IFERROR(HLOOKUP('Air Source Heat Pump(s)'!D925,'phius_monthly climate data'!$L$3:$CA$83,'phius_monthly climate data'!$CD941,FALSE),"")</f>
        <v/>
      </c>
      <c r="CD946" s="215">
        <v>944</v>
      </c>
    </row>
    <row r="947" spans="1:82" x14ac:dyDescent="0.35">
      <c r="A947" s="211" t="s">
        <v>77</v>
      </c>
      <c r="B947" s="211" t="s">
        <v>63</v>
      </c>
      <c r="C947" s="216" t="s">
        <v>989</v>
      </c>
      <c r="D947" s="222">
        <v>97.2</v>
      </c>
      <c r="E947" s="222">
        <v>41.1</v>
      </c>
      <c r="F947" s="211">
        <v>49</v>
      </c>
      <c r="I947" s="218" t="str">
        <f>IFERROR(HLOOKUP('Air Source Heat Pump(s)'!D926,'phius_monthly climate data'!$L$3:$CA$83,'phius_monthly climate data'!$CD942,FALSE),"")</f>
        <v/>
      </c>
      <c r="CD947" s="215">
        <v>945</v>
      </c>
    </row>
    <row r="948" spans="1:82" x14ac:dyDescent="0.35">
      <c r="A948" s="211" t="s">
        <v>77</v>
      </c>
      <c r="B948" s="211" t="s">
        <v>63</v>
      </c>
      <c r="C948" s="216" t="s">
        <v>990</v>
      </c>
      <c r="D948" s="222">
        <v>98.5</v>
      </c>
      <c r="E948" s="222">
        <v>30.6</v>
      </c>
      <c r="F948" s="211">
        <v>41</v>
      </c>
      <c r="I948" s="218" t="str">
        <f>IFERROR(HLOOKUP('Air Source Heat Pump(s)'!D927,'phius_monthly climate data'!$L$3:$CA$83,'phius_monthly climate data'!$CD943,FALSE),"")</f>
        <v/>
      </c>
      <c r="CD948" s="215">
        <v>946</v>
      </c>
    </row>
    <row r="949" spans="1:82" x14ac:dyDescent="0.35">
      <c r="A949" s="211" t="s">
        <v>77</v>
      </c>
      <c r="B949" s="211" t="s">
        <v>63</v>
      </c>
      <c r="C949" s="216" t="s">
        <v>991</v>
      </c>
      <c r="D949" s="222">
        <v>95.5</v>
      </c>
      <c r="E949" s="222">
        <v>34.1</v>
      </c>
      <c r="F949" s="211">
        <v>39</v>
      </c>
      <c r="I949" s="218" t="str">
        <f>IFERROR(HLOOKUP('Air Source Heat Pump(s)'!D928,'phius_monthly climate data'!$L$3:$CA$83,'phius_monthly climate data'!$CD944,FALSE),"")</f>
        <v/>
      </c>
      <c r="CD949" s="215">
        <v>947</v>
      </c>
    </row>
    <row r="950" spans="1:82" x14ac:dyDescent="0.35">
      <c r="A950" s="211" t="s">
        <v>77</v>
      </c>
      <c r="B950" s="211" t="s">
        <v>63</v>
      </c>
      <c r="C950" s="216" t="s">
        <v>992</v>
      </c>
      <c r="D950" s="222">
        <v>94.9</v>
      </c>
      <c r="E950" s="222">
        <v>37</v>
      </c>
      <c r="F950" s="211">
        <v>34</v>
      </c>
      <c r="I950" s="218" t="str">
        <f>IFERROR(HLOOKUP('Air Source Heat Pump(s)'!D929,'phius_monthly climate data'!$L$3:$CA$83,'phius_monthly climate data'!$CD945,FALSE),"")</f>
        <v/>
      </c>
      <c r="CD950" s="215">
        <v>948</v>
      </c>
    </row>
    <row r="951" spans="1:82" x14ac:dyDescent="0.35">
      <c r="A951" s="211" t="s">
        <v>77</v>
      </c>
      <c r="B951" s="211" t="s">
        <v>63</v>
      </c>
      <c r="C951" s="216" t="s">
        <v>993</v>
      </c>
      <c r="D951" s="222">
        <v>94.1</v>
      </c>
      <c r="E951" s="222">
        <v>36.700000000000003</v>
      </c>
      <c r="F951" s="211">
        <v>50</v>
      </c>
      <c r="CD951" s="215">
        <v>949</v>
      </c>
    </row>
    <row r="952" spans="1:82" x14ac:dyDescent="0.35">
      <c r="A952" s="211" t="s">
        <v>77</v>
      </c>
      <c r="B952" s="211" t="s">
        <v>63</v>
      </c>
      <c r="C952" s="216" t="s">
        <v>994</v>
      </c>
      <c r="D952" s="222">
        <v>96.2</v>
      </c>
      <c r="E952" s="222">
        <v>32.9</v>
      </c>
      <c r="F952" s="211">
        <v>41</v>
      </c>
      <c r="I952" s="218" t="str">
        <f>IFERROR(HLOOKUP('Air Source Heat Pump(s)'!D930,'phius_monthly climate data'!$L$3:$CA$83,'phius_monthly climate data'!$CD947,FALSE),"")</f>
        <v/>
      </c>
      <c r="CD952" s="215">
        <v>950</v>
      </c>
    </row>
    <row r="953" spans="1:82" x14ac:dyDescent="0.35">
      <c r="A953" s="211" t="s">
        <v>77</v>
      </c>
      <c r="B953" s="211" t="s">
        <v>63</v>
      </c>
      <c r="C953" s="216" t="s">
        <v>1207</v>
      </c>
      <c r="D953" s="222">
        <v>99</v>
      </c>
      <c r="E953" s="222">
        <v>28.7</v>
      </c>
      <c r="F953" s="211">
        <v>25.16</v>
      </c>
      <c r="I953" s="218" t="str">
        <f>IFERROR(HLOOKUP('Air Source Heat Pump(s)'!D931,'phius_monthly climate data'!$L$3:$CA$83,'phius_monthly climate data'!$CD948,FALSE),"")</f>
        <v/>
      </c>
      <c r="CD953" s="215">
        <v>951</v>
      </c>
    </row>
    <row r="954" spans="1:82" x14ac:dyDescent="0.35">
      <c r="A954" s="211" t="s">
        <v>77</v>
      </c>
      <c r="B954" s="211" t="s">
        <v>63</v>
      </c>
      <c r="C954" s="216" t="s">
        <v>995</v>
      </c>
      <c r="D954" s="222">
        <v>97.2</v>
      </c>
      <c r="E954" s="222">
        <v>37.6</v>
      </c>
      <c r="F954" s="211">
        <v>48</v>
      </c>
      <c r="I954" s="218" t="str">
        <f>IFERROR(HLOOKUP('Air Source Heat Pump(s)'!D932,'phius_monthly climate data'!$L$3:$CA$83,'phius_monthly climate data'!$CD949,FALSE),"")</f>
        <v/>
      </c>
      <c r="CD954" s="215">
        <v>952</v>
      </c>
    </row>
    <row r="955" spans="1:82" x14ac:dyDescent="0.35">
      <c r="A955" s="211" t="s">
        <v>77</v>
      </c>
      <c r="B955" s="211" t="s">
        <v>63</v>
      </c>
      <c r="C955" s="216" t="s">
        <v>996</v>
      </c>
      <c r="D955" s="222">
        <v>102.4</v>
      </c>
      <c r="E955" s="222">
        <v>39.200000000000003</v>
      </c>
      <c r="F955" s="211">
        <v>33</v>
      </c>
      <c r="I955" s="218" t="str">
        <f>IFERROR(HLOOKUP('Air Source Heat Pump(s)'!D933,'phius_monthly climate data'!$L$3:$CA$83,'phius_monthly climate data'!$CD950,FALSE),"")</f>
        <v/>
      </c>
      <c r="CD955" s="215">
        <v>953</v>
      </c>
    </row>
    <row r="956" spans="1:82" x14ac:dyDescent="0.35">
      <c r="A956" s="211" t="s">
        <v>77</v>
      </c>
      <c r="B956" s="211" t="s">
        <v>63</v>
      </c>
      <c r="C956" s="216" t="s">
        <v>997</v>
      </c>
      <c r="D956" s="222">
        <v>97.9</v>
      </c>
      <c r="E956" s="222">
        <v>28.1</v>
      </c>
      <c r="F956" s="211">
        <v>38</v>
      </c>
      <c r="I956" s="218" t="str">
        <f>IFERROR(HLOOKUP('Air Source Heat Pump(s)'!D934,'phius_monthly climate data'!$L$3:$CA$83,'phius_monthly climate data'!$CD951,FALSE),"")</f>
        <v/>
      </c>
      <c r="CD956" s="215">
        <v>954</v>
      </c>
    </row>
    <row r="957" spans="1:82" x14ac:dyDescent="0.35">
      <c r="A957" s="211" t="s">
        <v>77</v>
      </c>
      <c r="B957" s="211" t="s">
        <v>63</v>
      </c>
      <c r="C957" s="216" t="s">
        <v>998</v>
      </c>
      <c r="D957" s="222">
        <v>97.1</v>
      </c>
      <c r="E957" s="222">
        <v>20.2</v>
      </c>
      <c r="F957" s="211">
        <v>21</v>
      </c>
      <c r="I957" s="218" t="str">
        <f>IFERROR(HLOOKUP('Air Source Heat Pump(s)'!D935,'phius_monthly climate data'!$L$3:$CA$83,'phius_monthly climate data'!$CD952,FALSE),"")</f>
        <v/>
      </c>
      <c r="CD957" s="215">
        <v>955</v>
      </c>
    </row>
    <row r="958" spans="1:82" x14ac:dyDescent="0.35">
      <c r="A958" s="211" t="s">
        <v>77</v>
      </c>
      <c r="B958" s="211" t="s">
        <v>63</v>
      </c>
      <c r="C958" s="216" t="s">
        <v>999</v>
      </c>
      <c r="D958" s="222">
        <v>96.5</v>
      </c>
      <c r="E958" s="222">
        <v>29.7</v>
      </c>
      <c r="F958" s="211">
        <v>37</v>
      </c>
      <c r="I958" s="218" t="str">
        <f>IFERROR(HLOOKUP('Air Source Heat Pump(s)'!D935,'phius_monthly climate data'!$L$3:$CA$83,'phius_monthly climate data'!$CD953,FALSE),"")</f>
        <v/>
      </c>
      <c r="CD958" s="215">
        <v>956</v>
      </c>
    </row>
    <row r="959" spans="1:82" x14ac:dyDescent="0.35">
      <c r="A959" s="211" t="s">
        <v>77</v>
      </c>
      <c r="B959" s="211" t="s">
        <v>63</v>
      </c>
      <c r="C959" s="216" t="s">
        <v>1000</v>
      </c>
      <c r="D959" s="222">
        <v>91.3</v>
      </c>
      <c r="E959" s="222">
        <v>19.399999999999999</v>
      </c>
      <c r="F959" s="211">
        <v>17</v>
      </c>
      <c r="I959" s="218" t="str">
        <f>IFERROR(HLOOKUP('Air Source Heat Pump(s)'!D936,'phius_monthly climate data'!$L$3:$CA$83,'phius_monthly climate data'!$CD954,FALSE),"")</f>
        <v/>
      </c>
      <c r="CD959" s="215">
        <v>957</v>
      </c>
    </row>
    <row r="960" spans="1:82" x14ac:dyDescent="0.35">
      <c r="A960" s="211" t="s">
        <v>77</v>
      </c>
      <c r="B960" s="211" t="s">
        <v>63</v>
      </c>
      <c r="C960" s="216" t="s">
        <v>1001</v>
      </c>
      <c r="D960" s="222">
        <v>99</v>
      </c>
      <c r="E960" s="222">
        <v>42.1</v>
      </c>
      <c r="F960" s="211">
        <v>46</v>
      </c>
      <c r="I960" s="218" t="str">
        <f>IFERROR(HLOOKUP('Air Source Heat Pump(s)'!D938,'phius_monthly climate data'!$L$3:$CA$83,'phius_monthly climate data'!$CD955,FALSE),"")</f>
        <v/>
      </c>
      <c r="CD960" s="215">
        <v>958</v>
      </c>
    </row>
    <row r="961" spans="1:82" x14ac:dyDescent="0.35">
      <c r="A961" s="211" t="s">
        <v>77</v>
      </c>
      <c r="B961" s="211" t="s">
        <v>63</v>
      </c>
      <c r="C961" s="216" t="s">
        <v>1208</v>
      </c>
      <c r="D961" s="222">
        <v>99.5</v>
      </c>
      <c r="E961" s="222">
        <v>27.7</v>
      </c>
      <c r="F961" s="211">
        <v>25</v>
      </c>
      <c r="I961" s="218" t="str">
        <f>IFERROR(HLOOKUP('Air Source Heat Pump(s)'!D939,'phius_monthly climate data'!$L$3:$CA$83,'phius_monthly climate data'!$CD956,FALSE),"")</f>
        <v/>
      </c>
      <c r="CD961" s="215">
        <v>959</v>
      </c>
    </row>
    <row r="962" spans="1:82" x14ac:dyDescent="0.35">
      <c r="A962" s="211" t="s">
        <v>77</v>
      </c>
      <c r="B962" s="211" t="s">
        <v>63</v>
      </c>
      <c r="C962" s="216" t="s">
        <v>1002</v>
      </c>
      <c r="D962" s="222">
        <v>98.6</v>
      </c>
      <c r="E962" s="222">
        <v>24.4</v>
      </c>
      <c r="F962" s="211">
        <v>36</v>
      </c>
      <c r="I962" s="218" t="str">
        <f>IFERROR(HLOOKUP('Air Source Heat Pump(s)'!D940,'phius_monthly climate data'!$L$3:$CA$83,'phius_monthly climate data'!$CD957,FALSE),"")</f>
        <v/>
      </c>
      <c r="CD962" s="215">
        <v>960</v>
      </c>
    </row>
    <row r="963" spans="1:82" x14ac:dyDescent="0.35">
      <c r="A963" s="211" t="s">
        <v>77</v>
      </c>
      <c r="B963" s="211" t="s">
        <v>63</v>
      </c>
      <c r="C963" s="216" t="s">
        <v>1003</v>
      </c>
      <c r="D963" s="222">
        <v>99.8</v>
      </c>
      <c r="E963" s="222">
        <v>24.4</v>
      </c>
      <c r="F963" s="211">
        <v>35</v>
      </c>
      <c r="I963" s="218" t="str">
        <f>IFERROR(HLOOKUP('Air Source Heat Pump(s)'!D941,'phius_monthly climate data'!$L$3:$CA$83,'phius_monthly climate data'!$CD958,FALSE),"")</f>
        <v/>
      </c>
      <c r="CD963" s="215">
        <v>961</v>
      </c>
    </row>
    <row r="964" spans="1:82" x14ac:dyDescent="0.35">
      <c r="A964" s="211" t="s">
        <v>77</v>
      </c>
      <c r="B964" s="211" t="s">
        <v>63</v>
      </c>
      <c r="C964" s="216" t="s">
        <v>1004</v>
      </c>
      <c r="D964" s="222">
        <v>96.8</v>
      </c>
      <c r="E964" s="222">
        <v>27.6</v>
      </c>
      <c r="F964" s="211">
        <v>27</v>
      </c>
      <c r="I964" s="218" t="str">
        <f>IFERROR(HLOOKUP('Air Source Heat Pump(s)'!D942,'phius_monthly climate data'!$L$3:$CA$83,'phius_monthly climate data'!$CD959,FALSE),"")</f>
        <v/>
      </c>
      <c r="CD964" s="215">
        <v>962</v>
      </c>
    </row>
    <row r="965" spans="1:82" x14ac:dyDescent="0.35">
      <c r="A965" s="211" t="s">
        <v>77</v>
      </c>
      <c r="B965" s="211" t="s">
        <v>63</v>
      </c>
      <c r="C965" s="216" t="s">
        <v>1005</v>
      </c>
      <c r="D965" s="222">
        <v>91.4</v>
      </c>
      <c r="E965" s="222">
        <v>36.299999999999997</v>
      </c>
      <c r="F965" s="211">
        <v>35</v>
      </c>
      <c r="I965" s="218" t="str">
        <f>IFERROR(HLOOKUP('Air Source Heat Pump(s)'!D943,'phius_monthly climate data'!$L$3:$CA$83,'phius_monthly climate data'!$CD960,FALSE),"")</f>
        <v/>
      </c>
      <c r="CD965" s="215">
        <v>963</v>
      </c>
    </row>
    <row r="966" spans="1:82" x14ac:dyDescent="0.35">
      <c r="A966" s="211" t="s">
        <v>77</v>
      </c>
      <c r="B966" s="211" t="s">
        <v>63</v>
      </c>
      <c r="C966" s="216" t="s">
        <v>1006</v>
      </c>
      <c r="D966" s="222">
        <v>95.7</v>
      </c>
      <c r="E966" s="222">
        <v>30.9</v>
      </c>
      <c r="F966" s="211">
        <v>40</v>
      </c>
      <c r="I966" s="218" t="str">
        <f>IFERROR(HLOOKUP('Air Source Heat Pump(s)'!D944,'phius_monthly climate data'!$L$3:$CA$83,'phius_monthly climate data'!$CD961,FALSE),"")</f>
        <v/>
      </c>
      <c r="CD966" s="215">
        <v>964</v>
      </c>
    </row>
    <row r="967" spans="1:82" x14ac:dyDescent="0.35">
      <c r="A967" s="211" t="s">
        <v>77</v>
      </c>
      <c r="B967" s="211" t="s">
        <v>63</v>
      </c>
      <c r="C967" s="216" t="s">
        <v>1007</v>
      </c>
      <c r="D967" s="222">
        <v>98.6</v>
      </c>
      <c r="E967" s="222">
        <v>31.9</v>
      </c>
      <c r="F967" s="211">
        <v>30</v>
      </c>
      <c r="I967" s="218" t="str">
        <f>IFERROR(HLOOKUP('Air Source Heat Pump(s)'!D945,'phius_monthly climate data'!$L$3:$CA$83,'phius_monthly climate data'!$CD962,FALSE),"")</f>
        <v/>
      </c>
      <c r="CD967" s="215">
        <v>965</v>
      </c>
    </row>
    <row r="968" spans="1:82" x14ac:dyDescent="0.35">
      <c r="A968" s="211" t="s">
        <v>77</v>
      </c>
      <c r="B968" s="211" t="s">
        <v>63</v>
      </c>
      <c r="C968" s="216" t="s">
        <v>1008</v>
      </c>
      <c r="D968" s="222">
        <v>91.7</v>
      </c>
      <c r="E968" s="222">
        <v>38.799999999999997</v>
      </c>
      <c r="F968" s="211">
        <v>51</v>
      </c>
      <c r="I968" s="218" t="str">
        <f>IFERROR(HLOOKUP('Air Source Heat Pump(s)'!D946,'phius_monthly climate data'!$L$3:$CA$83,'phius_monthly climate data'!$CD963,FALSE),"")</f>
        <v/>
      </c>
      <c r="CD968" s="215">
        <v>966</v>
      </c>
    </row>
    <row r="969" spans="1:82" x14ac:dyDescent="0.35">
      <c r="A969" s="211" t="s">
        <v>77</v>
      </c>
      <c r="B969" s="211" t="s">
        <v>63</v>
      </c>
      <c r="C969" s="216" t="s">
        <v>1009</v>
      </c>
      <c r="D969" s="222">
        <v>99.5</v>
      </c>
      <c r="E969" s="222">
        <v>26</v>
      </c>
      <c r="F969" s="211">
        <v>29</v>
      </c>
      <c r="I969" s="218" t="str">
        <f>IFERROR(HLOOKUP('Air Source Heat Pump(s)'!D947,'phius_monthly climate data'!$L$3:$CA$83,'phius_monthly climate data'!$CD964,FALSE),"")</f>
        <v/>
      </c>
      <c r="CD969" s="215">
        <v>967</v>
      </c>
    </row>
    <row r="970" spans="1:82" x14ac:dyDescent="0.35">
      <c r="A970" s="211" t="s">
        <v>77</v>
      </c>
      <c r="B970" s="211" t="s">
        <v>63</v>
      </c>
      <c r="C970" s="216" t="s">
        <v>1010</v>
      </c>
      <c r="D970" s="222">
        <v>97.6</v>
      </c>
      <c r="E970" s="222">
        <v>33</v>
      </c>
      <c r="F970" s="211">
        <v>40</v>
      </c>
      <c r="I970" s="218" t="str">
        <f>IFERROR(HLOOKUP('Air Source Heat Pump(s)'!D948,'phius_monthly climate data'!$L$3:$CA$83,'phius_monthly climate data'!$CD965,FALSE),"")</f>
        <v/>
      </c>
      <c r="CD970" s="215">
        <v>968</v>
      </c>
    </row>
    <row r="971" spans="1:82" x14ac:dyDescent="0.35">
      <c r="A971" s="211" t="s">
        <v>77</v>
      </c>
      <c r="B971" s="211" t="s">
        <v>63</v>
      </c>
      <c r="C971" s="216" t="s">
        <v>1011</v>
      </c>
      <c r="D971" s="222">
        <v>99</v>
      </c>
      <c r="E971" s="222">
        <v>33.1</v>
      </c>
      <c r="F971" s="211">
        <v>31</v>
      </c>
      <c r="I971" s="218" t="str">
        <f>IFERROR(HLOOKUP('Air Source Heat Pump(s)'!D949,'phius_monthly climate data'!$L$3:$CA$83,'phius_monthly climate data'!$CD966,FALSE),"")</f>
        <v/>
      </c>
      <c r="CD971" s="215">
        <v>969</v>
      </c>
    </row>
    <row r="972" spans="1:82" x14ac:dyDescent="0.35">
      <c r="A972" s="211" t="s">
        <v>77</v>
      </c>
      <c r="B972" s="211" t="s">
        <v>63</v>
      </c>
      <c r="C972" s="216" t="s">
        <v>1012</v>
      </c>
      <c r="D972" s="222">
        <v>99.3</v>
      </c>
      <c r="E972" s="222">
        <v>33.799999999999997</v>
      </c>
      <c r="F972" s="211">
        <v>42</v>
      </c>
      <c r="I972" s="218" t="str">
        <f>IFERROR(HLOOKUP('Air Source Heat Pump(s)'!D950,'phius_monthly climate data'!$L$3:$CA$83,'phius_monthly climate data'!$CD967,FALSE),"")</f>
        <v/>
      </c>
      <c r="CD972" s="215">
        <v>970</v>
      </c>
    </row>
    <row r="973" spans="1:82" x14ac:dyDescent="0.35">
      <c r="A973" s="211" t="s">
        <v>77</v>
      </c>
      <c r="B973" s="211" t="s">
        <v>63</v>
      </c>
      <c r="C973" s="216" t="s">
        <v>1013</v>
      </c>
      <c r="D973" s="222">
        <v>97.8</v>
      </c>
      <c r="E973" s="222">
        <v>28.5</v>
      </c>
      <c r="F973" s="211">
        <v>32</v>
      </c>
      <c r="I973" s="218" t="str">
        <f>IFERROR(HLOOKUP('Air Source Heat Pump(s)'!D951,'phius_monthly climate data'!$L$3:$CA$83,'phius_monthly climate data'!$CD968,FALSE),"")</f>
        <v/>
      </c>
      <c r="CD973" s="215">
        <v>971</v>
      </c>
    </row>
    <row r="974" spans="1:82" x14ac:dyDescent="0.35">
      <c r="A974" s="211" t="s">
        <v>77</v>
      </c>
      <c r="B974" s="211" t="s">
        <v>63</v>
      </c>
      <c r="C974" s="216" t="s">
        <v>1014</v>
      </c>
      <c r="D974" s="222">
        <v>95.9</v>
      </c>
      <c r="E974" s="222">
        <v>34.5</v>
      </c>
      <c r="F974" s="211">
        <v>38</v>
      </c>
      <c r="I974" s="218" t="str">
        <f>IFERROR(HLOOKUP('Air Source Heat Pump(s)'!D952,'phius_monthly climate data'!$L$3:$CA$83,'phius_monthly climate data'!$CD969,FALSE),"")</f>
        <v/>
      </c>
      <c r="CD974" s="215">
        <v>972</v>
      </c>
    </row>
    <row r="975" spans="1:82" x14ac:dyDescent="0.35">
      <c r="A975" s="211" t="s">
        <v>77</v>
      </c>
      <c r="B975" s="211" t="s">
        <v>63</v>
      </c>
      <c r="C975" s="216" t="s">
        <v>1015</v>
      </c>
      <c r="D975" s="222">
        <v>99.2</v>
      </c>
      <c r="E975" s="222">
        <v>28.2</v>
      </c>
      <c r="F975" s="211">
        <v>31</v>
      </c>
      <c r="I975" s="218" t="str">
        <f>IFERROR(HLOOKUP('Air Source Heat Pump(s)'!D953,'phius_monthly climate data'!$L$3:$CA$83,'phius_monthly climate data'!$CD970,FALSE),"")</f>
        <v/>
      </c>
      <c r="CD975" s="215">
        <v>973</v>
      </c>
    </row>
    <row r="976" spans="1:82" x14ac:dyDescent="0.35">
      <c r="A976" s="211" t="s">
        <v>77</v>
      </c>
      <c r="B976" s="211" t="s">
        <v>63</v>
      </c>
      <c r="C976" s="216" t="s">
        <v>1016</v>
      </c>
      <c r="D976" s="222">
        <v>101.2</v>
      </c>
      <c r="E976" s="222">
        <v>22.7</v>
      </c>
      <c r="F976" s="211">
        <v>24</v>
      </c>
      <c r="CD976" s="215">
        <v>974</v>
      </c>
    </row>
    <row r="977" spans="1:82" x14ac:dyDescent="0.35">
      <c r="A977" s="211" t="s">
        <v>77</v>
      </c>
      <c r="B977" s="211" t="s">
        <v>63</v>
      </c>
      <c r="C977" s="216" t="s">
        <v>1017</v>
      </c>
      <c r="D977" s="222">
        <v>102.2</v>
      </c>
      <c r="E977" s="222">
        <v>24.3</v>
      </c>
      <c r="F977" s="211">
        <v>34</v>
      </c>
      <c r="CD977" s="215">
        <v>975</v>
      </c>
    </row>
    <row r="978" spans="1:82" x14ac:dyDescent="0.35">
      <c r="A978" s="211" t="s">
        <v>77</v>
      </c>
      <c r="B978" s="211" t="s">
        <v>64</v>
      </c>
      <c r="C978" s="216" t="s">
        <v>1199</v>
      </c>
      <c r="D978" s="222">
        <v>90.9</v>
      </c>
      <c r="E978" s="222">
        <v>14.8</v>
      </c>
      <c r="F978" s="211">
        <v>23.72</v>
      </c>
      <c r="I978" s="218" t="str">
        <f>IFERROR(HLOOKUP('Air Source Heat Pump(s)'!D954,'phius_monthly climate data'!$L$3:$CA$83,'phius_monthly climate data'!$CD973,FALSE),"")</f>
        <v/>
      </c>
      <c r="CD978" s="215">
        <v>976</v>
      </c>
    </row>
    <row r="979" spans="1:82" x14ac:dyDescent="0.35">
      <c r="A979" s="211" t="s">
        <v>77</v>
      </c>
      <c r="B979" s="211" t="s">
        <v>64</v>
      </c>
      <c r="C979" s="216" t="s">
        <v>1200</v>
      </c>
      <c r="D979" s="222">
        <v>82.4</v>
      </c>
      <c r="E979" s="222">
        <v>-2.9</v>
      </c>
      <c r="F979" s="211">
        <v>9.32</v>
      </c>
      <c r="CD979" s="215">
        <v>977</v>
      </c>
    </row>
    <row r="980" spans="1:82" x14ac:dyDescent="0.35">
      <c r="A980" s="211" t="s">
        <v>77</v>
      </c>
      <c r="B980" s="211" t="s">
        <v>64</v>
      </c>
      <c r="C980" s="216" t="s">
        <v>1018</v>
      </c>
      <c r="D980" s="222">
        <v>91.2</v>
      </c>
      <c r="E980" s="222">
        <v>7.7</v>
      </c>
      <c r="F980" s="211">
        <v>13</v>
      </c>
      <c r="I980" s="218" t="str">
        <f>IFERROR(HLOOKUP('Air Source Heat Pump(s)'!D955,'phius_monthly climate data'!$L$3:$CA$83,'phius_monthly climate data'!$CD975,FALSE),"")</f>
        <v/>
      </c>
      <c r="CD980" s="215">
        <v>978</v>
      </c>
    </row>
    <row r="981" spans="1:82" x14ac:dyDescent="0.35">
      <c r="A981" s="211" t="s">
        <v>77</v>
      </c>
      <c r="B981" s="211" t="s">
        <v>64</v>
      </c>
      <c r="C981" s="216" t="s">
        <v>1201</v>
      </c>
      <c r="D981" s="222">
        <v>99.7</v>
      </c>
      <c r="E981" s="222">
        <v>11.9</v>
      </c>
      <c r="F981" s="211">
        <v>19.04</v>
      </c>
      <c r="I981" s="218" t="str">
        <f>IFERROR(HLOOKUP('Air Source Heat Pump(s)'!D956,'phius_monthly climate data'!$L$3:$CA$83,'phius_monthly climate data'!$CD976,FALSE),"")</f>
        <v/>
      </c>
      <c r="CD981" s="215">
        <v>979</v>
      </c>
    </row>
    <row r="982" spans="1:82" x14ac:dyDescent="0.35">
      <c r="A982" s="211" t="s">
        <v>77</v>
      </c>
      <c r="B982" s="211" t="s">
        <v>64</v>
      </c>
      <c r="C982" s="216" t="s">
        <v>1019</v>
      </c>
      <c r="D982" s="222">
        <v>97.4</v>
      </c>
      <c r="E982" s="222">
        <v>7</v>
      </c>
      <c r="F982" s="211">
        <v>22</v>
      </c>
      <c r="I982" s="218" t="str">
        <f>IFERROR(HLOOKUP('Air Source Heat Pump(s)'!D957,'phius_monthly climate data'!$L$3:$CA$83,'phius_monthly climate data'!$CD977,FALSE),"")</f>
        <v/>
      </c>
      <c r="CD982" s="215">
        <v>980</v>
      </c>
    </row>
    <row r="983" spans="1:82" x14ac:dyDescent="0.35">
      <c r="A983" s="211" t="s">
        <v>77</v>
      </c>
      <c r="B983" s="211" t="s">
        <v>64</v>
      </c>
      <c r="C983" s="216" t="s">
        <v>1020</v>
      </c>
      <c r="D983" s="222">
        <v>91.3</v>
      </c>
      <c r="E983" s="222">
        <v>12.2</v>
      </c>
      <c r="F983" s="211">
        <v>18</v>
      </c>
      <c r="I983" s="218" t="str">
        <f>IFERROR(HLOOKUP('Air Source Heat Pump(s)'!D958,'phius_monthly climate data'!$L$3:$CA$83,'phius_monthly climate data'!$CD978,FALSE),"")</f>
        <v/>
      </c>
      <c r="CD983" s="215">
        <v>981</v>
      </c>
    </row>
    <row r="984" spans="1:82" x14ac:dyDescent="0.35">
      <c r="A984" s="211" t="s">
        <v>77</v>
      </c>
      <c r="B984" s="211" t="s">
        <v>64</v>
      </c>
      <c r="C984" s="216" t="s">
        <v>1021</v>
      </c>
      <c r="D984" s="222">
        <v>93.1</v>
      </c>
      <c r="E984" s="222">
        <v>12.2</v>
      </c>
      <c r="F984" s="211">
        <v>21</v>
      </c>
      <c r="I984" s="218" t="str">
        <f>IFERROR(HLOOKUP('Air Source Heat Pump(s)'!D959,'phius_monthly climate data'!$L$3:$CA$83,'phius_monthly climate data'!$CD979,FALSE),"")</f>
        <v/>
      </c>
      <c r="CD984" s="215">
        <v>982</v>
      </c>
    </row>
    <row r="985" spans="1:82" x14ac:dyDescent="0.35">
      <c r="A985" s="211" t="s">
        <v>77</v>
      </c>
      <c r="B985" s="211" t="s">
        <v>64</v>
      </c>
      <c r="C985" s="216" t="s">
        <v>1022</v>
      </c>
      <c r="D985" s="222">
        <v>91.2</v>
      </c>
      <c r="E985" s="222">
        <v>11.9</v>
      </c>
      <c r="F985" s="211">
        <v>22</v>
      </c>
      <c r="I985" s="218" t="str">
        <f>IFERROR(HLOOKUP('Air Source Heat Pump(s)'!D960,'phius_monthly climate data'!$L$3:$CA$83,'phius_monthly climate data'!$CD980,FALSE),"")</f>
        <v/>
      </c>
      <c r="CD985" s="215">
        <v>983</v>
      </c>
    </row>
    <row r="986" spans="1:82" x14ac:dyDescent="0.35">
      <c r="A986" s="211" t="s">
        <v>77</v>
      </c>
      <c r="B986" s="211" t="s">
        <v>64</v>
      </c>
      <c r="C986" s="216" t="s">
        <v>1023</v>
      </c>
      <c r="D986" s="222">
        <v>103.4</v>
      </c>
      <c r="E986" s="222">
        <v>27.8</v>
      </c>
      <c r="F986" s="211">
        <v>34</v>
      </c>
      <c r="I986" s="218" t="str">
        <f>IFERROR(HLOOKUP('Air Source Heat Pump(s)'!D961,'phius_monthly climate data'!$L$3:$CA$83,'phius_monthly climate data'!$CD981,FALSE),"")</f>
        <v/>
      </c>
      <c r="CD986" s="215">
        <v>984</v>
      </c>
    </row>
    <row r="987" spans="1:82" x14ac:dyDescent="0.35">
      <c r="A987" s="211" t="s">
        <v>77</v>
      </c>
      <c r="B987" s="211" t="s">
        <v>64</v>
      </c>
      <c r="C987" s="216" t="s">
        <v>1024</v>
      </c>
      <c r="D987" s="222">
        <v>95.4</v>
      </c>
      <c r="E987" s="222">
        <v>14.4</v>
      </c>
      <c r="F987" s="211">
        <v>22</v>
      </c>
      <c r="I987" s="218" t="str">
        <f>IFERROR(HLOOKUP('Air Source Heat Pump(s)'!D962,'phius_monthly climate data'!$L$3:$CA$83,'phius_monthly climate data'!$CD982,FALSE),"")</f>
        <v/>
      </c>
      <c r="CD987" s="215">
        <v>985</v>
      </c>
    </row>
    <row r="988" spans="1:82" x14ac:dyDescent="0.35">
      <c r="A988" s="211" t="s">
        <v>77</v>
      </c>
      <c r="B988" s="211" t="s">
        <v>64</v>
      </c>
      <c r="C988" s="216" t="s">
        <v>1025</v>
      </c>
      <c r="D988" s="222">
        <v>90.7</v>
      </c>
      <c r="E988" s="222">
        <v>-1.1000000000000001</v>
      </c>
      <c r="F988" s="211">
        <v>14</v>
      </c>
      <c r="I988" s="218" t="str">
        <f>IFERROR(HLOOKUP('Air Source Heat Pump(s)'!D963,'phius_monthly climate data'!$L$3:$CA$83,'phius_monthly climate data'!$CD983,FALSE),"")</f>
        <v/>
      </c>
      <c r="CD988" s="215">
        <v>986</v>
      </c>
    </row>
    <row r="989" spans="1:82" x14ac:dyDescent="0.35">
      <c r="A989" s="211" t="s">
        <v>77</v>
      </c>
      <c r="B989" s="211" t="s">
        <v>64</v>
      </c>
      <c r="C989" s="216" t="s">
        <v>1026</v>
      </c>
      <c r="D989" s="222">
        <v>94.6</v>
      </c>
      <c r="E989" s="222">
        <v>10.5</v>
      </c>
      <c r="F989" s="211">
        <v>16</v>
      </c>
      <c r="I989" s="218" t="str">
        <f>IFERROR(HLOOKUP('Air Source Heat Pump(s)'!D964,'phius_monthly climate data'!$L$3:$CA$83,'phius_monthly climate data'!$CD984,FALSE),"")</f>
        <v/>
      </c>
      <c r="CD989" s="215">
        <v>987</v>
      </c>
    </row>
    <row r="990" spans="1:82" x14ac:dyDescent="0.35">
      <c r="A990" s="211" t="s">
        <v>77</v>
      </c>
      <c r="B990" s="211" t="s">
        <v>65</v>
      </c>
      <c r="C990" s="216" t="s">
        <v>1027</v>
      </c>
      <c r="D990" s="222">
        <v>87.7</v>
      </c>
      <c r="E990" s="222">
        <v>17.8</v>
      </c>
      <c r="F990" s="211">
        <v>11</v>
      </c>
      <c r="I990" s="218" t="str">
        <f>IFERROR(HLOOKUP('Air Source Heat Pump(s)'!D965,'phius_monthly climate data'!$L$3:$CA$83,'phius_monthly climate data'!$CD985,FALSE),"")</f>
        <v/>
      </c>
      <c r="CD990" s="215">
        <v>988</v>
      </c>
    </row>
    <row r="991" spans="1:82" x14ac:dyDescent="0.35">
      <c r="A991" s="211" t="s">
        <v>77</v>
      </c>
      <c r="B991" s="211" t="s">
        <v>65</v>
      </c>
      <c r="C991" s="216" t="s">
        <v>1028</v>
      </c>
      <c r="D991" s="222">
        <v>90.3</v>
      </c>
      <c r="E991" s="222">
        <v>19.399999999999999</v>
      </c>
      <c r="F991" s="211">
        <v>22</v>
      </c>
      <c r="I991" s="218" t="str">
        <f>IFERROR(HLOOKUP('Air Source Heat Pump(s)'!D966,'phius_monthly climate data'!$L$3:$CA$83,'phius_monthly climate data'!$CD986,FALSE),"")</f>
        <v/>
      </c>
      <c r="CD991" s="215">
        <v>989</v>
      </c>
    </row>
    <row r="992" spans="1:82" x14ac:dyDescent="0.35">
      <c r="A992" s="211" t="s">
        <v>77</v>
      </c>
      <c r="B992" s="211" t="s">
        <v>65</v>
      </c>
      <c r="C992" s="216" t="s">
        <v>1029</v>
      </c>
      <c r="D992" s="222">
        <v>91.3</v>
      </c>
      <c r="E992" s="222">
        <v>21.7</v>
      </c>
      <c r="F992" s="211">
        <v>27</v>
      </c>
      <c r="I992" s="218" t="str">
        <f>IFERROR(HLOOKUP('Air Source Heat Pump(s)'!D967,'phius_monthly climate data'!$L$3:$CA$83,'phius_monthly climate data'!$CD987,FALSE),"")</f>
        <v/>
      </c>
      <c r="CD992" s="215">
        <v>990</v>
      </c>
    </row>
    <row r="993" spans="1:82" x14ac:dyDescent="0.35">
      <c r="A993" s="211" t="s">
        <v>77</v>
      </c>
      <c r="B993" s="211" t="s">
        <v>65</v>
      </c>
      <c r="C993" s="216" t="s">
        <v>1030</v>
      </c>
      <c r="D993" s="222">
        <v>93.1</v>
      </c>
      <c r="E993" s="222">
        <v>19.2</v>
      </c>
      <c r="F993" s="211">
        <v>15</v>
      </c>
      <c r="I993" s="218" t="str">
        <f>IFERROR(HLOOKUP('Air Source Heat Pump(s)'!D968,'phius_monthly climate data'!$L$3:$CA$83,'phius_monthly climate data'!$CD988,FALSE),"")</f>
        <v/>
      </c>
      <c r="CD993" s="215">
        <v>991</v>
      </c>
    </row>
    <row r="994" spans="1:82" x14ac:dyDescent="0.35">
      <c r="A994" s="211" t="s">
        <v>77</v>
      </c>
      <c r="B994" s="211" t="s">
        <v>65</v>
      </c>
      <c r="C994" s="216" t="s">
        <v>1031</v>
      </c>
      <c r="D994" s="222">
        <v>92.8</v>
      </c>
      <c r="E994" s="222">
        <v>18.8</v>
      </c>
      <c r="F994" s="211">
        <v>23</v>
      </c>
      <c r="I994" s="218" t="str">
        <f>IFERROR(HLOOKUP('Air Source Heat Pump(s)'!D969,'phius_monthly climate data'!$L$3:$CA$83,'phius_monthly climate data'!$CD989,FALSE),"")</f>
        <v/>
      </c>
      <c r="CD994" s="215">
        <v>992</v>
      </c>
    </row>
    <row r="995" spans="1:82" x14ac:dyDescent="0.35">
      <c r="A995" s="211" t="s">
        <v>77</v>
      </c>
      <c r="B995" s="211" t="s">
        <v>65</v>
      </c>
      <c r="C995" s="216" t="s">
        <v>1032</v>
      </c>
      <c r="D995" s="222">
        <v>93.3</v>
      </c>
      <c r="E995" s="222">
        <v>23.4</v>
      </c>
      <c r="F995" s="211">
        <v>28</v>
      </c>
      <c r="I995" s="218" t="str">
        <f>IFERROR(HLOOKUP('Air Source Heat Pump(s)'!D970,'phius_monthly climate data'!$L$3:$CA$83,'phius_monthly climate data'!$CD990,FALSE),"")</f>
        <v/>
      </c>
      <c r="CD995" s="215">
        <v>993</v>
      </c>
    </row>
    <row r="996" spans="1:82" x14ac:dyDescent="0.35">
      <c r="A996" s="211" t="s">
        <v>77</v>
      </c>
      <c r="B996" s="211" t="s">
        <v>65</v>
      </c>
      <c r="C996" s="216" t="s">
        <v>1033</v>
      </c>
      <c r="D996" s="222">
        <v>83.9</v>
      </c>
      <c r="E996" s="222">
        <v>16</v>
      </c>
      <c r="F996" s="211">
        <v>11</v>
      </c>
      <c r="I996" s="218" t="str">
        <f>IFERROR(HLOOKUP('Air Source Heat Pump(s)'!D971,'phius_monthly climate data'!$L$3:$CA$83,'phius_monthly climate data'!$CD991,FALSE),"")</f>
        <v/>
      </c>
      <c r="CD996" s="215">
        <v>994</v>
      </c>
    </row>
    <row r="997" spans="1:82" x14ac:dyDescent="0.35">
      <c r="A997" s="211" t="s">
        <v>77</v>
      </c>
      <c r="B997" s="211" t="s">
        <v>65</v>
      </c>
      <c r="C997" s="216" t="s">
        <v>1034</v>
      </c>
      <c r="D997" s="222">
        <v>80.599999999999994</v>
      </c>
      <c r="E997" s="222">
        <v>7.1</v>
      </c>
      <c r="F997" s="211">
        <v>5</v>
      </c>
      <c r="I997" s="218" t="str">
        <f>IFERROR(HLOOKUP('Air Source Heat Pump(s)'!D972,'phius_monthly climate data'!$L$3:$CA$83,'phius_monthly climate data'!$CD992,FALSE),"")</f>
        <v/>
      </c>
      <c r="CD997" s="215">
        <v>995</v>
      </c>
    </row>
    <row r="998" spans="1:82" x14ac:dyDescent="0.35">
      <c r="A998" s="211" t="s">
        <v>77</v>
      </c>
      <c r="B998" s="211" t="s">
        <v>65</v>
      </c>
      <c r="C998" s="216" t="s">
        <v>1035</v>
      </c>
      <c r="D998" s="222">
        <v>90.5</v>
      </c>
      <c r="E998" s="222">
        <v>24.9</v>
      </c>
      <c r="F998" s="211">
        <v>20</v>
      </c>
      <c r="I998" s="218" t="str">
        <f>IFERROR(HLOOKUP('Air Source Heat Pump(s)'!D973,'phius_monthly climate data'!$L$3:$CA$83,'phius_monthly climate data'!$CD993,FALSE),"")</f>
        <v/>
      </c>
      <c r="CD998" s="215">
        <v>996</v>
      </c>
    </row>
    <row r="999" spans="1:82" x14ac:dyDescent="0.35">
      <c r="A999" s="211" t="s">
        <v>77</v>
      </c>
      <c r="B999" s="211" t="s">
        <v>65</v>
      </c>
      <c r="C999" s="216" t="s">
        <v>1036</v>
      </c>
      <c r="D999" s="222">
        <v>92.2</v>
      </c>
      <c r="E999" s="222">
        <v>18.2</v>
      </c>
      <c r="F999" s="211">
        <v>15</v>
      </c>
      <c r="I999" s="218" t="str">
        <f>IFERROR(HLOOKUP('Air Source Heat Pump(s)'!D974,'phius_monthly climate data'!$L$3:$CA$83,'phius_monthly climate data'!$CD994,FALSE),"")</f>
        <v/>
      </c>
      <c r="CD999" s="215">
        <v>997</v>
      </c>
    </row>
    <row r="1000" spans="1:82" x14ac:dyDescent="0.35">
      <c r="A1000" s="211" t="s">
        <v>77</v>
      </c>
      <c r="B1000" s="211" t="s">
        <v>65</v>
      </c>
      <c r="C1000" s="216" t="s">
        <v>1037</v>
      </c>
      <c r="D1000" s="222">
        <v>89.6</v>
      </c>
      <c r="E1000" s="222">
        <v>19.7</v>
      </c>
      <c r="F1000" s="211">
        <v>24</v>
      </c>
      <c r="I1000" s="218" t="str">
        <f>IFERROR(HLOOKUP('Air Source Heat Pump(s)'!D975,'phius_monthly climate data'!$L$3:$CA$83,'phius_monthly climate data'!$CD995,FALSE),"")</f>
        <v/>
      </c>
      <c r="CD1000" s="215">
        <v>998</v>
      </c>
    </row>
    <row r="1001" spans="1:82" x14ac:dyDescent="0.35">
      <c r="A1001" s="211" t="s">
        <v>77</v>
      </c>
      <c r="B1001" s="211" t="s">
        <v>65</v>
      </c>
      <c r="C1001" s="216" t="s">
        <v>1038</v>
      </c>
      <c r="D1001" s="222">
        <v>90.7</v>
      </c>
      <c r="E1001" s="222">
        <v>16.100000000000001</v>
      </c>
      <c r="F1001" s="211">
        <v>9</v>
      </c>
      <c r="I1001" s="218" t="str">
        <f>IFERROR(HLOOKUP('Air Source Heat Pump(s)'!D976,'phius_monthly climate data'!$L$3:$CA$83,'phius_monthly climate data'!$CD996,FALSE),"")</f>
        <v/>
      </c>
      <c r="CD1001" s="215">
        <v>999</v>
      </c>
    </row>
    <row r="1002" spans="1:82" x14ac:dyDescent="0.35">
      <c r="A1002" s="211" t="s">
        <v>77</v>
      </c>
      <c r="B1002" s="211" t="s">
        <v>65</v>
      </c>
      <c r="C1002" s="216" t="s">
        <v>1039</v>
      </c>
      <c r="D1002" s="222">
        <v>87.5</v>
      </c>
      <c r="E1002" s="222">
        <v>12.3</v>
      </c>
      <c r="F1002" s="211">
        <v>15</v>
      </c>
      <c r="I1002" s="218" t="str">
        <f>IFERROR(HLOOKUP('Air Source Heat Pump(s)'!D977,'phius_monthly climate data'!$L$3:$CA$83,'phius_monthly climate data'!$CD997,FALSE),"")</f>
        <v/>
      </c>
      <c r="CD1002" s="215">
        <v>1000</v>
      </c>
    </row>
    <row r="1003" spans="1:82" x14ac:dyDescent="0.35">
      <c r="A1003" s="211" t="s">
        <v>77</v>
      </c>
      <c r="B1003" s="211" t="s">
        <v>65</v>
      </c>
      <c r="C1003" s="216" t="s">
        <v>1040</v>
      </c>
      <c r="D1003" s="222">
        <v>91.4</v>
      </c>
      <c r="E1003" s="222">
        <v>18.899999999999999</v>
      </c>
      <c r="F1003" s="211">
        <v>15</v>
      </c>
      <c r="I1003" s="218" t="str">
        <f>IFERROR(HLOOKUP('Air Source Heat Pump(s)'!D978,'phius_monthly climate data'!$L$3:$CA$83,'phius_monthly climate data'!$CD998,FALSE),"")</f>
        <v/>
      </c>
      <c r="CD1003" s="215">
        <v>1001</v>
      </c>
    </row>
    <row r="1004" spans="1:82" x14ac:dyDescent="0.35">
      <c r="A1004" s="211" t="s">
        <v>77</v>
      </c>
      <c r="B1004" s="211" t="s">
        <v>65</v>
      </c>
      <c r="C1004" s="216" t="s">
        <v>1041</v>
      </c>
      <c r="D1004" s="222">
        <v>91</v>
      </c>
      <c r="E1004" s="222">
        <v>24.6</v>
      </c>
      <c r="F1004" s="211">
        <v>27</v>
      </c>
      <c r="I1004" s="218" t="str">
        <f>IFERROR(HLOOKUP('Air Source Heat Pump(s)'!D979,'phius_monthly climate data'!$L$3:$CA$83,'phius_monthly climate data'!$CD999,FALSE),"")</f>
        <v/>
      </c>
      <c r="CD1004" s="215">
        <v>1002</v>
      </c>
    </row>
    <row r="1005" spans="1:82" x14ac:dyDescent="0.35">
      <c r="A1005" s="211" t="s">
        <v>77</v>
      </c>
      <c r="B1005" s="211" t="s">
        <v>65</v>
      </c>
      <c r="C1005" s="216" t="s">
        <v>1042</v>
      </c>
      <c r="D1005" s="222">
        <v>92</v>
      </c>
      <c r="E1005" s="222">
        <v>24.3</v>
      </c>
      <c r="F1005" s="211">
        <v>29</v>
      </c>
      <c r="I1005" s="218" t="str">
        <f>IFERROR(HLOOKUP('Air Source Heat Pump(s)'!D980,'phius_monthly climate data'!$L$3:$CA$83,'phius_monthly climate data'!$CD1000,FALSE),"")</f>
        <v/>
      </c>
      <c r="CD1005" s="215">
        <v>1003</v>
      </c>
    </row>
    <row r="1006" spans="1:82" x14ac:dyDescent="0.35">
      <c r="A1006" s="211" t="s">
        <v>77</v>
      </c>
      <c r="B1006" s="211" t="s">
        <v>65</v>
      </c>
      <c r="C1006" s="216" t="s">
        <v>1043</v>
      </c>
      <c r="D1006" s="222">
        <v>91.3</v>
      </c>
      <c r="E1006" s="222">
        <v>26.6</v>
      </c>
      <c r="F1006" s="211">
        <v>28</v>
      </c>
      <c r="I1006" s="218" t="str">
        <f>IFERROR(HLOOKUP('Air Source Heat Pump(s)'!D981,'phius_monthly climate data'!$L$3:$CA$83,'phius_monthly climate data'!$CD1001,FALSE),"")</f>
        <v/>
      </c>
      <c r="CD1006" s="215">
        <v>1004</v>
      </c>
    </row>
    <row r="1007" spans="1:82" x14ac:dyDescent="0.35">
      <c r="A1007" s="211" t="s">
        <v>77</v>
      </c>
      <c r="B1007" s="211" t="s">
        <v>65</v>
      </c>
      <c r="C1007" s="216" t="s">
        <v>1044</v>
      </c>
      <c r="D1007" s="222">
        <v>91.9</v>
      </c>
      <c r="E1007" s="222">
        <v>27.6</v>
      </c>
      <c r="F1007" s="211">
        <v>29</v>
      </c>
      <c r="CD1007" s="215">
        <v>1005</v>
      </c>
    </row>
    <row r="1008" spans="1:82" x14ac:dyDescent="0.35">
      <c r="A1008" s="211" t="s">
        <v>77</v>
      </c>
      <c r="B1008" s="211" t="s">
        <v>65</v>
      </c>
      <c r="C1008" s="216" t="s">
        <v>1045</v>
      </c>
      <c r="D1008" s="222">
        <v>90.4</v>
      </c>
      <c r="E1008" s="222">
        <v>25.9</v>
      </c>
      <c r="F1008" s="211">
        <v>25</v>
      </c>
      <c r="I1008" s="218" t="str">
        <f>IFERROR(HLOOKUP('Air Source Heat Pump(s)'!D982,'phius_monthly climate data'!$L$3:$CA$83,'phius_monthly climate data'!$CD1003,FALSE),"")</f>
        <v/>
      </c>
      <c r="CD1008" s="215">
        <v>1006</v>
      </c>
    </row>
    <row r="1009" spans="1:82" x14ac:dyDescent="0.35">
      <c r="A1009" s="211" t="s">
        <v>77</v>
      </c>
      <c r="B1009" s="211" t="s">
        <v>65</v>
      </c>
      <c r="C1009" s="216" t="s">
        <v>1198</v>
      </c>
      <c r="D1009" s="222">
        <v>88.2</v>
      </c>
      <c r="E1009" s="222">
        <v>17.600000000000001</v>
      </c>
      <c r="F1009" s="211">
        <v>12.2</v>
      </c>
      <c r="I1009" s="218" t="str">
        <f>IFERROR(HLOOKUP('Air Source Heat Pump(s)'!D983,'phius_monthly climate data'!$L$3:$CA$83,'phius_monthly climate data'!$CD1004,FALSE),"")</f>
        <v/>
      </c>
      <c r="CD1009" s="215">
        <v>1007</v>
      </c>
    </row>
    <row r="1010" spans="1:82" x14ac:dyDescent="0.35">
      <c r="A1010" s="211" t="s">
        <v>77</v>
      </c>
      <c r="B1010" s="211" t="s">
        <v>65</v>
      </c>
      <c r="C1010" s="216" t="s">
        <v>1046</v>
      </c>
      <c r="D1010" s="222">
        <v>90.2</v>
      </c>
      <c r="E1010" s="222">
        <v>20.5</v>
      </c>
      <c r="F1010" s="211">
        <v>14</v>
      </c>
      <c r="I1010" s="218" t="str">
        <f>IFERROR(HLOOKUP('Air Source Heat Pump(s)'!D984,'phius_monthly climate data'!$L$3:$CA$83,'phius_monthly climate data'!$CD1005,FALSE),"")</f>
        <v/>
      </c>
      <c r="CD1010" s="215">
        <v>1008</v>
      </c>
    </row>
    <row r="1011" spans="1:82" x14ac:dyDescent="0.35">
      <c r="A1011" s="211" t="s">
        <v>77</v>
      </c>
      <c r="B1011" s="211" t="s">
        <v>65</v>
      </c>
      <c r="C1011" s="216" t="s">
        <v>1047</v>
      </c>
      <c r="D1011" s="222">
        <v>92.7</v>
      </c>
      <c r="E1011" s="222">
        <v>22.1</v>
      </c>
      <c r="F1011" s="211">
        <v>19</v>
      </c>
      <c r="I1011" s="218" t="str">
        <f>IFERROR(HLOOKUP('Air Source Heat Pump(s)'!D985,'phius_monthly climate data'!$L$3:$CA$83,'phius_monthly climate data'!$CD1006,FALSE),"")</f>
        <v/>
      </c>
      <c r="CD1011" s="215">
        <v>1009</v>
      </c>
    </row>
    <row r="1012" spans="1:82" x14ac:dyDescent="0.35">
      <c r="A1012" s="211" t="s">
        <v>77</v>
      </c>
      <c r="B1012" s="211" t="s">
        <v>65</v>
      </c>
      <c r="C1012" s="216" t="s">
        <v>1048</v>
      </c>
      <c r="D1012" s="222">
        <v>89.7</v>
      </c>
      <c r="E1012" s="222">
        <v>20.6</v>
      </c>
      <c r="F1012" s="211">
        <v>24</v>
      </c>
      <c r="I1012" s="218" t="str">
        <f>IFERROR(HLOOKUP('Air Source Heat Pump(s)'!D986,'phius_monthly climate data'!$L$3:$CA$83,'phius_monthly climate data'!$CD1007,FALSE),"")</f>
        <v/>
      </c>
      <c r="CD1012" s="215">
        <v>1010</v>
      </c>
    </row>
    <row r="1013" spans="1:82" x14ac:dyDescent="0.35">
      <c r="A1013" s="211" t="s">
        <v>77</v>
      </c>
      <c r="B1013" s="211" t="s">
        <v>65</v>
      </c>
      <c r="C1013" s="216" t="s">
        <v>1049</v>
      </c>
      <c r="D1013" s="222">
        <v>92.9</v>
      </c>
      <c r="E1013" s="222">
        <v>18.8</v>
      </c>
      <c r="F1013" s="211">
        <v>14</v>
      </c>
      <c r="I1013" s="218" t="str">
        <f>IFERROR(HLOOKUP('Air Source Heat Pump(s)'!D987,'phius_monthly climate data'!$L$3:$CA$83,'phius_monthly climate data'!$CD1008,FALSE),"")</f>
        <v/>
      </c>
      <c r="CD1013" s="215">
        <v>1011</v>
      </c>
    </row>
    <row r="1014" spans="1:82" x14ac:dyDescent="0.35">
      <c r="A1014" s="211" t="s">
        <v>77</v>
      </c>
      <c r="B1014" s="211" t="s">
        <v>65</v>
      </c>
      <c r="C1014" s="216" t="s">
        <v>1050</v>
      </c>
      <c r="D1014" s="222">
        <v>90.9</v>
      </c>
      <c r="E1014" s="222">
        <v>16.399999999999999</v>
      </c>
      <c r="F1014" s="211">
        <v>11</v>
      </c>
      <c r="I1014" s="218" t="str">
        <f>IFERROR(HLOOKUP('Air Source Heat Pump(s)'!D988,'phius_monthly climate data'!$L$3:$CA$83,'phius_monthly climate data'!$CD1009,FALSE),"")</f>
        <v/>
      </c>
      <c r="CD1014" s="215">
        <v>1012</v>
      </c>
    </row>
    <row r="1015" spans="1:82" x14ac:dyDescent="0.35">
      <c r="A1015" s="211" t="s">
        <v>77</v>
      </c>
      <c r="B1015" s="211" t="s">
        <v>65</v>
      </c>
      <c r="C1015" s="216" t="s">
        <v>1051</v>
      </c>
      <c r="D1015" s="222">
        <v>86.5</v>
      </c>
      <c r="E1015" s="222">
        <v>15.9</v>
      </c>
      <c r="F1015" s="211">
        <v>19</v>
      </c>
      <c r="I1015" s="218" t="str">
        <f>IFERROR(HLOOKUP('Air Source Heat Pump(s)'!D989,'phius_monthly climate data'!$L$3:$CA$83,'phius_monthly climate data'!$CD1010,FALSE),"")</f>
        <v/>
      </c>
      <c r="CD1015" s="215">
        <v>1013</v>
      </c>
    </row>
    <row r="1016" spans="1:82" x14ac:dyDescent="0.35">
      <c r="A1016" s="211" t="s">
        <v>77</v>
      </c>
      <c r="B1016" s="211" t="s">
        <v>65</v>
      </c>
      <c r="C1016" s="216" t="s">
        <v>1052</v>
      </c>
      <c r="D1016" s="222">
        <v>90.9</v>
      </c>
      <c r="E1016" s="222">
        <v>17.3</v>
      </c>
      <c r="F1016" s="211">
        <v>17</v>
      </c>
      <c r="I1016" s="218" t="str">
        <f>IFERROR(HLOOKUP('Air Source Heat Pump(s)'!D990,'phius_monthly climate data'!$L$3:$CA$83,'phius_monthly climate data'!$CD1011,FALSE),"")</f>
        <v/>
      </c>
      <c r="CD1016" s="215">
        <v>1014</v>
      </c>
    </row>
    <row r="1017" spans="1:82" x14ac:dyDescent="0.35">
      <c r="A1017" s="211" t="s">
        <v>77</v>
      </c>
      <c r="B1017" s="211" t="s">
        <v>65</v>
      </c>
      <c r="C1017" s="216" t="s">
        <v>1053</v>
      </c>
      <c r="D1017" s="222">
        <v>92</v>
      </c>
      <c r="E1017" s="222">
        <v>21.6</v>
      </c>
      <c r="F1017" s="211">
        <v>21</v>
      </c>
      <c r="I1017" s="218" t="str">
        <f>IFERROR(HLOOKUP('Air Source Heat Pump(s)'!D991,'phius_monthly climate data'!$L$3:$CA$83,'phius_monthly climate data'!$CD1012,FALSE),"")</f>
        <v/>
      </c>
      <c r="CD1017" s="215">
        <v>1015</v>
      </c>
    </row>
    <row r="1018" spans="1:82" x14ac:dyDescent="0.35">
      <c r="A1018" s="211" t="s">
        <v>77</v>
      </c>
      <c r="B1018" s="211" t="s">
        <v>65</v>
      </c>
      <c r="C1018" s="216" t="s">
        <v>1054</v>
      </c>
      <c r="D1018" s="222">
        <v>90.7</v>
      </c>
      <c r="E1018" s="222">
        <v>18.2</v>
      </c>
      <c r="F1018" s="211">
        <v>14</v>
      </c>
      <c r="I1018" s="218" t="str">
        <f>IFERROR(HLOOKUP('Air Source Heat Pump(s)'!D992,'phius_monthly climate data'!$L$3:$CA$83,'phius_monthly climate data'!$CD1013,FALSE),"")</f>
        <v/>
      </c>
      <c r="CD1018" s="215">
        <v>1016</v>
      </c>
    </row>
    <row r="1019" spans="1:82" x14ac:dyDescent="0.35">
      <c r="A1019" s="211" t="s">
        <v>77</v>
      </c>
      <c r="B1019" s="211" t="s">
        <v>65</v>
      </c>
      <c r="C1019" s="216" t="s">
        <v>1055</v>
      </c>
      <c r="D1019" s="222">
        <v>84</v>
      </c>
      <c r="E1019" s="222">
        <v>12.1</v>
      </c>
      <c r="F1019" s="211">
        <v>18</v>
      </c>
      <c r="I1019" s="218" t="str">
        <f>IFERROR(HLOOKUP('Air Source Heat Pump(s)'!D993,'phius_monthly climate data'!$L$3:$CA$83,'phius_monthly climate data'!$CD1014,FALSE),"")</f>
        <v/>
      </c>
      <c r="CD1019" s="215">
        <v>1017</v>
      </c>
    </row>
    <row r="1020" spans="1:82" x14ac:dyDescent="0.35">
      <c r="A1020" s="211" t="s">
        <v>77</v>
      </c>
      <c r="B1020" s="211" t="s">
        <v>66</v>
      </c>
      <c r="C1020" s="216" t="s">
        <v>1056</v>
      </c>
      <c r="D1020" s="222">
        <v>85.4</v>
      </c>
      <c r="E1020" s="222">
        <v>-1.8</v>
      </c>
      <c r="F1020" s="211">
        <v>2</v>
      </c>
      <c r="I1020" s="218" t="str">
        <f>IFERROR(HLOOKUP('Air Source Heat Pump(s)'!D994,'phius_monthly climate data'!$L$3:$CA$83,'phius_monthly climate data'!$CD1015,FALSE),"")</f>
        <v/>
      </c>
      <c r="CD1020" s="215">
        <v>1018</v>
      </c>
    </row>
    <row r="1021" spans="1:82" x14ac:dyDescent="0.35">
      <c r="A1021" s="211" t="s">
        <v>1195</v>
      </c>
      <c r="B1021" s="211" t="s">
        <v>1196</v>
      </c>
      <c r="C1021" s="216" t="s">
        <v>1057</v>
      </c>
      <c r="D1021" s="222">
        <v>94.6</v>
      </c>
      <c r="E1021" s="222">
        <v>69.900000000000006</v>
      </c>
      <c r="F1021" s="211">
        <v>77</v>
      </c>
      <c r="I1021" s="218" t="str">
        <f>IFERROR(HLOOKUP('Air Source Heat Pump(s)'!D995,'phius_monthly climate data'!$L$3:$CA$83,'phius_monthly climate data'!$CD1016,FALSE),"")</f>
        <v/>
      </c>
      <c r="CD1021" s="215">
        <v>1019</v>
      </c>
    </row>
    <row r="1022" spans="1:82" x14ac:dyDescent="0.35">
      <c r="A1022" s="211" t="s">
        <v>77</v>
      </c>
      <c r="B1022" s="211" t="s">
        <v>66</v>
      </c>
      <c r="C1022" s="216" t="s">
        <v>1058</v>
      </c>
      <c r="D1022" s="222">
        <v>82.1</v>
      </c>
      <c r="E1022" s="222">
        <v>-4.8</v>
      </c>
      <c r="F1022" s="211">
        <v>-1</v>
      </c>
      <c r="I1022" s="218" t="str">
        <f>IFERROR(HLOOKUP('Air Source Heat Pump(s)'!D996,'phius_monthly climate data'!$L$3:$CA$83,'phius_monthly climate data'!$CD1017,FALSE),"")</f>
        <v/>
      </c>
      <c r="CD1022" s="215">
        <v>1020</v>
      </c>
    </row>
    <row r="1023" spans="1:82" x14ac:dyDescent="0.35">
      <c r="A1023" s="211" t="s">
        <v>77</v>
      </c>
      <c r="B1023" s="211" t="s">
        <v>66</v>
      </c>
      <c r="C1023" s="216" t="s">
        <v>1059</v>
      </c>
      <c r="D1023" s="222">
        <v>82.1</v>
      </c>
      <c r="E1023" s="222">
        <v>-0.3</v>
      </c>
      <c r="F1023" s="211">
        <v>2</v>
      </c>
      <c r="I1023" s="218" t="str">
        <f>IFERROR(HLOOKUP('Air Source Heat Pump(s)'!D997,'phius_monthly climate data'!$L$3:$CA$83,'phius_monthly climate data'!$CD1018,FALSE),"")</f>
        <v/>
      </c>
      <c r="CD1023" s="215">
        <v>1021</v>
      </c>
    </row>
    <row r="1024" spans="1:82" x14ac:dyDescent="0.35">
      <c r="A1024" s="211" t="s">
        <v>77</v>
      </c>
      <c r="B1024" s="211" t="s">
        <v>66</v>
      </c>
      <c r="C1024" s="216" t="s">
        <v>1060</v>
      </c>
      <c r="D1024" s="222">
        <v>85.2</v>
      </c>
      <c r="E1024" s="222">
        <v>0.8</v>
      </c>
      <c r="F1024" s="211">
        <v>6</v>
      </c>
      <c r="I1024" s="218" t="str">
        <f>IFERROR(HLOOKUP('Air Source Heat Pump(s)'!D998,'phius_monthly climate data'!$L$3:$CA$83,'phius_monthly climate data'!$CD1019,FALSE),"")</f>
        <v/>
      </c>
      <c r="CD1024" s="215">
        <v>1022</v>
      </c>
    </row>
    <row r="1025" spans="1:82" x14ac:dyDescent="0.35">
      <c r="A1025" s="211" t="s">
        <v>77</v>
      </c>
      <c r="B1025" s="211" t="s">
        <v>67</v>
      </c>
      <c r="C1025" s="216" t="s">
        <v>1061</v>
      </c>
      <c r="D1025" s="222">
        <v>76.2</v>
      </c>
      <c r="E1025" s="222">
        <v>23.7</v>
      </c>
      <c r="F1025" s="211">
        <v>29</v>
      </c>
      <c r="I1025" s="218" t="str">
        <f>IFERROR(HLOOKUP('Air Source Heat Pump(s)'!D999,'phius_monthly climate data'!$L$3:$CA$83,'phius_monthly climate data'!$CD1020,FALSE),"")</f>
        <v/>
      </c>
      <c r="CD1025" s="215">
        <v>1023</v>
      </c>
    </row>
    <row r="1026" spans="1:82" x14ac:dyDescent="0.35">
      <c r="A1026" s="211" t="s">
        <v>77</v>
      </c>
      <c r="B1026" s="211" t="s">
        <v>67</v>
      </c>
      <c r="C1026" s="216" t="s">
        <v>1062</v>
      </c>
      <c r="D1026" s="222">
        <v>81.7</v>
      </c>
      <c r="E1026" s="222">
        <v>26.6</v>
      </c>
      <c r="F1026" s="211">
        <v>26</v>
      </c>
      <c r="I1026" s="218" t="str">
        <f>IFERROR(HLOOKUP('Air Source Heat Pump(s)'!D1000,'phius_monthly climate data'!$L$3:$CA$83,'phius_monthly climate data'!$CD1021,FALSE),"")</f>
        <v/>
      </c>
      <c r="CD1026" s="215">
        <v>1024</v>
      </c>
    </row>
    <row r="1027" spans="1:82" x14ac:dyDescent="0.35">
      <c r="A1027" s="211" t="s">
        <v>77</v>
      </c>
      <c r="B1027" s="211" t="s">
        <v>67</v>
      </c>
      <c r="C1027" s="216" t="s">
        <v>1063</v>
      </c>
      <c r="D1027" s="222">
        <v>94.3</v>
      </c>
      <c r="E1027" s="222">
        <v>13.5</v>
      </c>
      <c r="F1027" s="211">
        <v>8</v>
      </c>
      <c r="I1027" s="218" t="str">
        <f>IFERROR(HLOOKUP('Air Source Heat Pump(s)'!D1001,'phius_monthly climate data'!$L$3:$CA$83,'phius_monthly climate data'!$CD1022,FALSE),"")</f>
        <v/>
      </c>
      <c r="CD1027" s="215">
        <v>1025</v>
      </c>
    </row>
    <row r="1028" spans="1:82" x14ac:dyDescent="0.35">
      <c r="A1028" s="211" t="s">
        <v>77</v>
      </c>
      <c r="B1028" s="211" t="s">
        <v>67</v>
      </c>
      <c r="C1028" s="216" t="s">
        <v>1064</v>
      </c>
      <c r="D1028" s="222">
        <v>89</v>
      </c>
      <c r="E1028" s="222">
        <v>11.2</v>
      </c>
      <c r="F1028" s="211">
        <v>12</v>
      </c>
      <c r="I1028" s="218" t="str">
        <f>IFERROR(HLOOKUP('Air Source Heat Pump(s)'!D1002,'phius_monthly climate data'!$L$3:$CA$83,'phius_monthly climate data'!$CD1023,FALSE),"")</f>
        <v/>
      </c>
      <c r="CD1028" s="215">
        <v>1026</v>
      </c>
    </row>
    <row r="1029" spans="1:82" x14ac:dyDescent="0.35">
      <c r="A1029" s="211" t="s">
        <v>77</v>
      </c>
      <c r="B1029" s="211" t="s">
        <v>67</v>
      </c>
      <c r="C1029" s="216" t="s">
        <v>1065</v>
      </c>
      <c r="D1029" s="222">
        <v>91</v>
      </c>
      <c r="E1029" s="222">
        <v>14.2</v>
      </c>
      <c r="F1029" s="211">
        <v>24</v>
      </c>
      <c r="I1029" s="218" t="str">
        <f>IFERROR(HLOOKUP('Air Source Heat Pump(s)'!D1003,'phius_monthly climate data'!$L$3:$CA$83,'phius_monthly climate data'!$CD1024,FALSE),"")</f>
        <v/>
      </c>
      <c r="CD1029" s="215">
        <v>1027</v>
      </c>
    </row>
    <row r="1030" spans="1:82" x14ac:dyDescent="0.35">
      <c r="A1030" s="211" t="s">
        <v>77</v>
      </c>
      <c r="B1030" s="211" t="s">
        <v>67</v>
      </c>
      <c r="C1030" s="216" t="s">
        <v>1066</v>
      </c>
      <c r="D1030" s="222">
        <v>83.1</v>
      </c>
      <c r="E1030" s="222">
        <v>24.5</v>
      </c>
      <c r="F1030" s="211">
        <v>18</v>
      </c>
      <c r="I1030" s="218" t="str">
        <f>IFERROR(HLOOKUP('Air Source Heat Pump(s)'!D1004,'phius_monthly climate data'!$L$3:$CA$83,'phius_monthly climate data'!$CD1025,FALSE),"")</f>
        <v/>
      </c>
      <c r="CD1030" s="215">
        <v>1028</v>
      </c>
    </row>
    <row r="1031" spans="1:82" x14ac:dyDescent="0.35">
      <c r="A1031" s="211" t="s">
        <v>77</v>
      </c>
      <c r="B1031" s="211" t="s">
        <v>67</v>
      </c>
      <c r="C1031" s="216" t="s">
        <v>1067</v>
      </c>
      <c r="D1031" s="222">
        <v>97.4</v>
      </c>
      <c r="E1031" s="222">
        <v>15.2</v>
      </c>
      <c r="F1031" s="211">
        <v>-1</v>
      </c>
      <c r="I1031" s="218" t="str">
        <f>IFERROR(HLOOKUP('Air Source Heat Pump(s)'!D1005,'phius_monthly climate data'!$L$3:$CA$83,'phius_monthly climate data'!$CD1026,FALSE),"")</f>
        <v/>
      </c>
      <c r="CD1031" s="215">
        <v>1029</v>
      </c>
    </row>
    <row r="1032" spans="1:82" x14ac:dyDescent="0.35">
      <c r="A1032" s="211" t="s">
        <v>77</v>
      </c>
      <c r="B1032" s="211" t="s">
        <v>67</v>
      </c>
      <c r="C1032" s="216" t="s">
        <v>1068</v>
      </c>
      <c r="D1032" s="222">
        <v>72.7</v>
      </c>
      <c r="E1032" s="222">
        <v>30.7</v>
      </c>
      <c r="F1032" s="211">
        <v>28</v>
      </c>
      <c r="I1032" s="218" t="str">
        <f>IFERROR(HLOOKUP('Air Source Heat Pump(s)'!D1006,'phius_monthly climate data'!$L$3:$CA$83,'phius_monthly climate data'!$CD1027,FALSE),"")</f>
        <v/>
      </c>
      <c r="CD1032" s="215">
        <v>1030</v>
      </c>
    </row>
    <row r="1033" spans="1:82" x14ac:dyDescent="0.35">
      <c r="A1033" s="211" t="s">
        <v>77</v>
      </c>
      <c r="B1033" s="211" t="s">
        <v>67</v>
      </c>
      <c r="C1033" s="216" t="s">
        <v>1069</v>
      </c>
      <c r="D1033" s="222">
        <v>82.3</v>
      </c>
      <c r="E1033" s="222">
        <v>26.8</v>
      </c>
      <c r="F1033" s="211">
        <v>32</v>
      </c>
      <c r="I1033" s="218" t="str">
        <f>IFERROR(HLOOKUP('Air Source Heat Pump(s)'!D1007,'phius_monthly climate data'!$L$3:$CA$83,'phius_monthly climate data'!$CD1028,FALSE),"")</f>
        <v/>
      </c>
      <c r="CD1033" s="215">
        <v>1031</v>
      </c>
    </row>
    <row r="1034" spans="1:82" x14ac:dyDescent="0.35">
      <c r="A1034" s="211" t="s">
        <v>77</v>
      </c>
      <c r="B1034" s="211" t="s">
        <v>67</v>
      </c>
      <c r="C1034" s="216" t="s">
        <v>1070</v>
      </c>
      <c r="D1034" s="222">
        <v>94.4</v>
      </c>
      <c r="E1034" s="222">
        <v>12.9</v>
      </c>
      <c r="F1034" s="211">
        <v>26</v>
      </c>
      <c r="I1034" s="218" t="str">
        <f>IFERROR(HLOOKUP('Air Source Heat Pump(s)'!D1008,'phius_monthly climate data'!$L$3:$CA$83,'phius_monthly climate data'!$CD1029,FALSE),"")</f>
        <v/>
      </c>
      <c r="CD1034" s="215">
        <v>1032</v>
      </c>
    </row>
    <row r="1035" spans="1:82" x14ac:dyDescent="0.35">
      <c r="A1035" s="211" t="s">
        <v>77</v>
      </c>
      <c r="B1035" s="211" t="s">
        <v>67</v>
      </c>
      <c r="C1035" s="216" t="s">
        <v>1071</v>
      </c>
      <c r="D1035" s="222">
        <v>83.3</v>
      </c>
      <c r="E1035" s="222">
        <v>24.3</v>
      </c>
      <c r="F1035" s="211">
        <v>32</v>
      </c>
      <c r="I1035" s="218" t="str">
        <f>IFERROR(HLOOKUP('Air Source Heat Pump(s)'!D1009,'phius_monthly climate data'!$L$3:$CA$83,'phius_monthly climate data'!$CD1030,FALSE),"")</f>
        <v/>
      </c>
      <c r="CD1035" s="215">
        <v>1033</v>
      </c>
    </row>
    <row r="1036" spans="1:82" x14ac:dyDescent="0.35">
      <c r="A1036" s="211" t="s">
        <v>77</v>
      </c>
      <c r="B1036" s="211" t="s">
        <v>67</v>
      </c>
      <c r="C1036" s="216" t="s">
        <v>1072</v>
      </c>
      <c r="D1036" s="222">
        <v>96.2</v>
      </c>
      <c r="E1036" s="222">
        <v>16.399999999999999</v>
      </c>
      <c r="F1036" s="211">
        <v>28</v>
      </c>
      <c r="I1036" s="218" t="str">
        <f>IFERROR(HLOOKUP('Air Source Heat Pump(s)'!D1010,'phius_monthly climate data'!$L$3:$CA$83,'phius_monthly climate data'!$CD1031,FALSE),"")</f>
        <v/>
      </c>
      <c r="CD1036" s="215">
        <v>1034</v>
      </c>
    </row>
    <row r="1037" spans="1:82" x14ac:dyDescent="0.35">
      <c r="A1037" s="211" t="s">
        <v>77</v>
      </c>
      <c r="B1037" s="211" t="s">
        <v>67</v>
      </c>
      <c r="C1037" s="216" t="s">
        <v>1073</v>
      </c>
      <c r="D1037" s="222">
        <v>89.4</v>
      </c>
      <c r="E1037" s="222">
        <v>13.6</v>
      </c>
      <c r="F1037" s="211">
        <v>22</v>
      </c>
      <c r="I1037" s="218" t="str">
        <f>IFERROR(HLOOKUP('Air Source Heat Pump(s)'!D1011,'phius_monthly climate data'!$L$3:$CA$83,'phius_monthly climate data'!$CD1032,FALSE),"")</f>
        <v/>
      </c>
      <c r="CD1037" s="215">
        <v>1035</v>
      </c>
    </row>
    <row r="1038" spans="1:82" x14ac:dyDescent="0.35">
      <c r="A1038" s="211" t="s">
        <v>77</v>
      </c>
      <c r="B1038" s="211" t="s">
        <v>67</v>
      </c>
      <c r="C1038" s="216" t="s">
        <v>1074</v>
      </c>
      <c r="D1038" s="222">
        <v>74.400000000000006</v>
      </c>
      <c r="E1038" s="222">
        <v>27.8</v>
      </c>
      <c r="F1038" s="211">
        <v>33</v>
      </c>
      <c r="I1038" s="218" t="str">
        <f>IFERROR(HLOOKUP('Air Source Heat Pump(s)'!D1012,'phius_monthly climate data'!$L$3:$CA$83,'phius_monthly climate data'!$CD1033,FALSE),"")</f>
        <v/>
      </c>
      <c r="CD1038" s="215">
        <v>1036</v>
      </c>
    </row>
    <row r="1039" spans="1:82" x14ac:dyDescent="0.35">
      <c r="A1039" s="211" t="s">
        <v>77</v>
      </c>
      <c r="B1039" s="211" t="s">
        <v>67</v>
      </c>
      <c r="C1039" s="216" t="s">
        <v>1075</v>
      </c>
      <c r="D1039" s="222">
        <v>81.900000000000006</v>
      </c>
      <c r="E1039" s="222">
        <v>29.2</v>
      </c>
      <c r="F1039" s="211">
        <v>34</v>
      </c>
      <c r="I1039" s="218" t="str">
        <f>IFERROR(HLOOKUP('Air Source Heat Pump(s)'!D1013,'phius_monthly climate data'!$L$3:$CA$83,'phius_monthly climate data'!$CD1034,FALSE),"")</f>
        <v/>
      </c>
      <c r="CD1039" s="215">
        <v>1037</v>
      </c>
    </row>
    <row r="1040" spans="1:82" x14ac:dyDescent="0.35">
      <c r="A1040" s="211" t="s">
        <v>77</v>
      </c>
      <c r="B1040" s="211" t="s">
        <v>67</v>
      </c>
      <c r="C1040" s="216" t="s">
        <v>1076</v>
      </c>
      <c r="D1040" s="222">
        <v>81.900000000000006</v>
      </c>
      <c r="E1040" s="222">
        <v>29.4</v>
      </c>
      <c r="F1040" s="211">
        <v>28</v>
      </c>
      <c r="I1040" s="218" t="str">
        <f>IFERROR(HLOOKUP('Air Source Heat Pump(s)'!D1014,'phius_monthly climate data'!$L$3:$CA$83,'phius_monthly climate data'!$CD1035,FALSE),"")</f>
        <v/>
      </c>
      <c r="CD1040" s="215">
        <v>1038</v>
      </c>
    </row>
    <row r="1041" spans="1:82" x14ac:dyDescent="0.35">
      <c r="A1041" s="211" t="s">
        <v>77</v>
      </c>
      <c r="B1041" s="211" t="s">
        <v>67</v>
      </c>
      <c r="C1041" s="216" t="s">
        <v>1077</v>
      </c>
      <c r="D1041" s="222">
        <v>81.599999999999994</v>
      </c>
      <c r="E1041" s="222">
        <v>29.5</v>
      </c>
      <c r="F1041" s="211">
        <v>34</v>
      </c>
      <c r="I1041" s="218" t="str">
        <f>IFERROR(HLOOKUP('Air Source Heat Pump(s)'!D1015,'phius_monthly climate data'!$L$3:$CA$83,'phius_monthly climate data'!$CD1036,FALSE),"")</f>
        <v/>
      </c>
      <c r="CD1041" s="215">
        <v>1039</v>
      </c>
    </row>
    <row r="1042" spans="1:82" x14ac:dyDescent="0.35">
      <c r="A1042" s="211" t="s">
        <v>77</v>
      </c>
      <c r="B1042" s="211" t="s">
        <v>67</v>
      </c>
      <c r="C1042" s="216" t="s">
        <v>1078</v>
      </c>
      <c r="D1042" s="222">
        <v>76.3</v>
      </c>
      <c r="E1042" s="222">
        <v>28.9</v>
      </c>
      <c r="F1042" s="211">
        <v>38</v>
      </c>
      <c r="I1042" s="218" t="str">
        <f>IFERROR(HLOOKUP('Air Source Heat Pump(s)'!D1016,'phius_monthly climate data'!$L$3:$CA$83,'phius_monthly climate data'!$CD1037,FALSE),"")</f>
        <v/>
      </c>
      <c r="CD1042" s="215">
        <v>1040</v>
      </c>
    </row>
    <row r="1043" spans="1:82" x14ac:dyDescent="0.35">
      <c r="A1043" s="211" t="s">
        <v>77</v>
      </c>
      <c r="B1043" s="211" t="s">
        <v>67</v>
      </c>
      <c r="C1043" s="216" t="s">
        <v>1079</v>
      </c>
      <c r="D1043" s="222">
        <v>89.6</v>
      </c>
      <c r="E1043" s="222">
        <v>11.2</v>
      </c>
      <c r="F1043" s="211">
        <v>15</v>
      </c>
      <c r="I1043" s="218" t="str">
        <f>IFERROR(HLOOKUP('Air Source Heat Pump(s)'!D1017,'phius_monthly climate data'!$L$3:$CA$83,'phius_monthly climate data'!$CD1038,FALSE),"")</f>
        <v/>
      </c>
      <c r="CD1043" s="215">
        <v>1041</v>
      </c>
    </row>
    <row r="1044" spans="1:82" x14ac:dyDescent="0.35">
      <c r="A1044" s="211" t="s">
        <v>77</v>
      </c>
      <c r="B1044" s="211" t="s">
        <v>67</v>
      </c>
      <c r="C1044" s="216" t="s">
        <v>1080</v>
      </c>
      <c r="D1044" s="222">
        <v>75.599999999999994</v>
      </c>
      <c r="E1044" s="222">
        <v>12</v>
      </c>
      <c r="F1044" s="211">
        <v>19</v>
      </c>
      <c r="I1044" s="218" t="str">
        <f>IFERROR(HLOOKUP('Air Source Heat Pump(s)'!D1018,'phius_monthly climate data'!$L$3:$CA$83,'phius_monthly climate data'!$CD1039,FALSE),"")</f>
        <v/>
      </c>
      <c r="CD1044" s="215">
        <v>1042</v>
      </c>
    </row>
    <row r="1045" spans="1:82" x14ac:dyDescent="0.35">
      <c r="A1045" s="211" t="s">
        <v>77</v>
      </c>
      <c r="B1045" s="211" t="s">
        <v>67</v>
      </c>
      <c r="C1045" s="216" t="s">
        <v>1081</v>
      </c>
      <c r="D1045" s="222">
        <v>82.4</v>
      </c>
      <c r="E1045" s="222">
        <v>24.5</v>
      </c>
      <c r="F1045" s="211">
        <v>28</v>
      </c>
      <c r="I1045" s="218" t="str">
        <f>IFERROR(HLOOKUP('Air Source Heat Pump(s)'!D1019,'phius_monthly climate data'!$L$3:$CA$83,'phius_monthly climate data'!$CD1040,FALSE),"")</f>
        <v/>
      </c>
      <c r="CD1045" s="215">
        <v>1043</v>
      </c>
    </row>
    <row r="1046" spans="1:82" x14ac:dyDescent="0.35">
      <c r="A1046" s="211" t="s">
        <v>77</v>
      </c>
      <c r="B1046" s="211" t="s">
        <v>67</v>
      </c>
      <c r="C1046" s="216" t="s">
        <v>1082</v>
      </c>
      <c r="D1046" s="222">
        <v>80.3</v>
      </c>
      <c r="E1046" s="222">
        <v>30.9</v>
      </c>
      <c r="F1046" s="211">
        <v>37</v>
      </c>
      <c r="I1046" s="218" t="str">
        <f>IFERROR(HLOOKUP('Air Source Heat Pump(s)'!D1020,'phius_monthly climate data'!$L$3:$CA$83,'phius_monthly climate data'!$CD1041,FALSE),"")</f>
        <v/>
      </c>
      <c r="CD1046" s="215">
        <v>1044</v>
      </c>
    </row>
    <row r="1047" spans="1:82" x14ac:dyDescent="0.35">
      <c r="A1047" s="211" t="s">
        <v>77</v>
      </c>
      <c r="B1047" s="211" t="s">
        <v>67</v>
      </c>
      <c r="C1047" s="216" t="s">
        <v>1083</v>
      </c>
      <c r="D1047" s="222">
        <v>93.6</v>
      </c>
      <c r="E1047" s="222">
        <v>21.8</v>
      </c>
      <c r="F1047" s="211">
        <v>34</v>
      </c>
      <c r="I1047" s="218" t="str">
        <f>IFERROR(HLOOKUP('Air Source Heat Pump(s)'!D1021,'phius_monthly climate data'!$L$3:$CA$83,'phius_monthly climate data'!$CD1042,FALSE),"")</f>
        <v/>
      </c>
      <c r="CD1047" s="215">
        <v>1045</v>
      </c>
    </row>
    <row r="1048" spans="1:82" x14ac:dyDescent="0.35">
      <c r="A1048" s="211" t="s">
        <v>77</v>
      </c>
      <c r="B1048" s="211" t="s">
        <v>67</v>
      </c>
      <c r="C1048" s="216" t="s">
        <v>1084</v>
      </c>
      <c r="D1048" s="222">
        <v>94.7</v>
      </c>
      <c r="E1048" s="222">
        <v>17.3</v>
      </c>
      <c r="F1048" s="211">
        <v>29</v>
      </c>
      <c r="I1048" s="218" t="str">
        <f>IFERROR(HLOOKUP('Air Source Heat Pump(s)'!D1022,'phius_monthly climate data'!$L$3:$CA$83,'phius_monthly climate data'!$CD1043,FALSE),"")</f>
        <v/>
      </c>
      <c r="CD1048" s="215">
        <v>1046</v>
      </c>
    </row>
    <row r="1049" spans="1:82" x14ac:dyDescent="0.35">
      <c r="A1049" s="211" t="s">
        <v>77</v>
      </c>
      <c r="B1049" s="211" t="s">
        <v>67</v>
      </c>
      <c r="C1049" s="216" t="s">
        <v>1085</v>
      </c>
      <c r="D1049" s="222">
        <v>92.5</v>
      </c>
      <c r="E1049" s="222">
        <v>13.7</v>
      </c>
      <c r="F1049" s="211">
        <v>20</v>
      </c>
      <c r="I1049" s="218" t="str">
        <f>IFERROR(HLOOKUP('Air Source Heat Pump(s)'!D1023,'phius_monthly climate data'!$L$3:$CA$83,'phius_monthly climate data'!$CD1044,FALSE),"")</f>
        <v/>
      </c>
      <c r="CD1049" s="215">
        <v>1047</v>
      </c>
    </row>
    <row r="1050" spans="1:82" x14ac:dyDescent="0.35">
      <c r="A1050" s="211" t="s">
        <v>77</v>
      </c>
      <c r="B1050" s="211" t="s">
        <v>67</v>
      </c>
      <c r="C1050" s="216" t="s">
        <v>1086</v>
      </c>
      <c r="D1050" s="222">
        <v>69.2</v>
      </c>
      <c r="E1050" s="222">
        <v>27.2</v>
      </c>
      <c r="F1050" s="211">
        <v>35</v>
      </c>
      <c r="I1050" s="218" t="str">
        <f>IFERROR(HLOOKUP('Air Source Heat Pump(s)'!D1024,'phius_monthly climate data'!$L$3:$CA$83,'phius_monthly climate data'!$CD1045,FALSE),"")</f>
        <v/>
      </c>
      <c r="CD1050" s="215">
        <v>1048</v>
      </c>
    </row>
    <row r="1051" spans="1:82" x14ac:dyDescent="0.35">
      <c r="A1051" s="211" t="s">
        <v>77</v>
      </c>
      <c r="B1051" s="211" t="s">
        <v>67</v>
      </c>
      <c r="C1051" s="216" t="s">
        <v>1087</v>
      </c>
      <c r="D1051" s="222">
        <v>73.599999999999994</v>
      </c>
      <c r="E1051" s="222">
        <v>27.6</v>
      </c>
      <c r="F1051" s="211">
        <v>29</v>
      </c>
      <c r="I1051" s="218" t="str">
        <f>IFERROR(HLOOKUP('Air Source Heat Pump(s)'!D1025,'phius_monthly climate data'!$L$3:$CA$83,'phius_monthly climate data'!$CD1046,FALSE),"")</f>
        <v/>
      </c>
      <c r="CD1051" s="215">
        <v>1049</v>
      </c>
    </row>
    <row r="1052" spans="1:82" x14ac:dyDescent="0.35">
      <c r="A1052" s="211" t="s">
        <v>77</v>
      </c>
      <c r="B1052" s="211" t="s">
        <v>67</v>
      </c>
      <c r="C1052" s="216" t="s">
        <v>1088</v>
      </c>
      <c r="D1052" s="222">
        <v>93.3</v>
      </c>
      <c r="E1052" s="222">
        <v>13.8</v>
      </c>
      <c r="F1052" s="211">
        <v>19</v>
      </c>
      <c r="I1052" s="218" t="str">
        <f>IFERROR(HLOOKUP('Air Source Heat Pump(s)'!D1026,'phius_monthly climate data'!$L$3:$CA$83,'phius_monthly climate data'!$CD1047,FALSE),"")</f>
        <v/>
      </c>
      <c r="CD1052" s="215">
        <v>1050</v>
      </c>
    </row>
    <row r="1053" spans="1:82" x14ac:dyDescent="0.35">
      <c r="A1053" s="211" t="s">
        <v>77</v>
      </c>
      <c r="B1053" s="211" t="s">
        <v>68</v>
      </c>
      <c r="C1053" s="216" t="s">
        <v>1089</v>
      </c>
      <c r="D1053" s="222">
        <v>84.9</v>
      </c>
      <c r="E1053" s="222">
        <v>-0.3</v>
      </c>
      <c r="F1053" s="211">
        <v>12</v>
      </c>
      <c r="I1053" s="218" t="str">
        <f>IFERROR(HLOOKUP('Air Source Heat Pump(s)'!D1027,'phius_monthly climate data'!$L$3:$CA$83,'phius_monthly climate data'!$CD1048,FALSE),"")</f>
        <v/>
      </c>
      <c r="CD1053" s="215">
        <v>1051</v>
      </c>
    </row>
    <row r="1054" spans="1:82" x14ac:dyDescent="0.35">
      <c r="A1054" s="211" t="s">
        <v>77</v>
      </c>
      <c r="B1054" s="211" t="s">
        <v>68</v>
      </c>
      <c r="C1054" s="216" t="s">
        <v>1090</v>
      </c>
      <c r="D1054" s="222">
        <v>86.7</v>
      </c>
      <c r="E1054" s="222">
        <v>-8</v>
      </c>
      <c r="F1054" s="211">
        <v>-11</v>
      </c>
      <c r="I1054" s="218" t="str">
        <f>IFERROR(HLOOKUP('Air Source Heat Pump(s)'!D1028,'phius_monthly climate data'!$L$3:$CA$83,'phius_monthly climate data'!$CD1049,FALSE),"")</f>
        <v/>
      </c>
      <c r="CD1054" s="215">
        <v>1052</v>
      </c>
    </row>
    <row r="1055" spans="1:82" x14ac:dyDescent="0.35">
      <c r="A1055" s="211" t="s">
        <v>77</v>
      </c>
      <c r="B1055" s="211" t="s">
        <v>68</v>
      </c>
      <c r="C1055" s="216" t="s">
        <v>1091</v>
      </c>
      <c r="D1055" s="222">
        <v>85</v>
      </c>
      <c r="E1055" s="222">
        <v>-2.8</v>
      </c>
      <c r="F1055" s="211">
        <v>-2</v>
      </c>
      <c r="I1055" s="218" t="str">
        <f>IFERROR(HLOOKUP('Air Source Heat Pump(s)'!D1029,'phius_monthly climate data'!$L$3:$CA$83,'phius_monthly climate data'!$CD1050,FALSE),"")</f>
        <v/>
      </c>
      <c r="CD1055" s="215">
        <v>1053</v>
      </c>
    </row>
    <row r="1056" spans="1:82" x14ac:dyDescent="0.35">
      <c r="A1056" s="211" t="s">
        <v>77</v>
      </c>
      <c r="B1056" s="211" t="s">
        <v>68</v>
      </c>
      <c r="C1056" s="216" t="s">
        <v>1092</v>
      </c>
      <c r="D1056" s="222">
        <v>88.2</v>
      </c>
      <c r="E1056" s="222">
        <v>0.5</v>
      </c>
      <c r="F1056" s="211">
        <v>15</v>
      </c>
      <c r="I1056" s="218" t="str">
        <f>IFERROR(HLOOKUP('Air Source Heat Pump(s)'!D1030,'phius_monthly climate data'!$L$3:$CA$83,'phius_monthly climate data'!$CD1051,FALSE),"")</f>
        <v/>
      </c>
      <c r="CD1056" s="215">
        <v>1054</v>
      </c>
    </row>
    <row r="1057" spans="1:82" x14ac:dyDescent="0.35">
      <c r="A1057" s="211" t="s">
        <v>77</v>
      </c>
      <c r="B1057" s="211" t="s">
        <v>68</v>
      </c>
      <c r="C1057" s="216" t="s">
        <v>1093</v>
      </c>
      <c r="D1057" s="222">
        <v>88.4</v>
      </c>
      <c r="E1057" s="222">
        <v>-4.2</v>
      </c>
      <c r="F1057" s="211">
        <v>-4</v>
      </c>
      <c r="I1057" s="218" t="str">
        <f>IFERROR(HLOOKUP('Air Source Heat Pump(s)'!D1031,'phius_monthly climate data'!$L$3:$CA$83,'phius_monthly climate data'!$CD1052,FALSE),"")</f>
        <v/>
      </c>
      <c r="CD1057" s="215">
        <v>1055</v>
      </c>
    </row>
    <row r="1058" spans="1:82" x14ac:dyDescent="0.35">
      <c r="A1058" s="211" t="s">
        <v>77</v>
      </c>
      <c r="B1058" s="211" t="s">
        <v>68</v>
      </c>
      <c r="C1058" s="216" t="s">
        <v>1094</v>
      </c>
      <c r="D1058" s="222">
        <v>87.9</v>
      </c>
      <c r="E1058" s="222">
        <v>-5.2</v>
      </c>
      <c r="F1058" s="211">
        <v>-3</v>
      </c>
      <c r="I1058" s="218" t="str">
        <f>IFERROR(HLOOKUP('Air Source Heat Pump(s)'!D1032,'phius_monthly climate data'!$L$3:$CA$83,'phius_monthly climate data'!$CD1053,FALSE),"")</f>
        <v/>
      </c>
      <c r="CD1058" s="215">
        <v>1056</v>
      </c>
    </row>
    <row r="1059" spans="1:82" x14ac:dyDescent="0.35">
      <c r="A1059" s="211" t="s">
        <v>77</v>
      </c>
      <c r="B1059" s="211" t="s">
        <v>68</v>
      </c>
      <c r="C1059" s="216" t="s">
        <v>1095</v>
      </c>
      <c r="D1059" s="222">
        <v>86.6</v>
      </c>
      <c r="E1059" s="222">
        <v>-1.2</v>
      </c>
      <c r="F1059" s="211">
        <v>-9</v>
      </c>
      <c r="I1059" s="218" t="str">
        <f>IFERROR(HLOOKUP('Air Source Heat Pump(s)'!D1033,'phius_monthly climate data'!$L$3:$CA$83,'phius_monthly climate data'!$CD1054,FALSE),"")</f>
        <v/>
      </c>
      <c r="CD1059" s="215">
        <v>1057</v>
      </c>
    </row>
    <row r="1060" spans="1:82" x14ac:dyDescent="0.35">
      <c r="A1060" s="211" t="s">
        <v>77</v>
      </c>
      <c r="B1060" s="211" t="s">
        <v>68</v>
      </c>
      <c r="C1060" s="216" t="s">
        <v>1096</v>
      </c>
      <c r="D1060" s="222">
        <v>81.900000000000006</v>
      </c>
      <c r="E1060" s="222">
        <v>0.5</v>
      </c>
      <c r="F1060" s="211">
        <v>3</v>
      </c>
      <c r="I1060" s="218" t="str">
        <f>IFERROR(HLOOKUP('Air Source Heat Pump(s)'!D1034,'phius_monthly climate data'!$L$3:$CA$83,'phius_monthly climate data'!$CD1055,FALSE),"")</f>
        <v/>
      </c>
      <c r="CD1060" s="215">
        <v>1058</v>
      </c>
    </row>
    <row r="1061" spans="1:82" x14ac:dyDescent="0.35">
      <c r="A1061" s="211" t="s">
        <v>77</v>
      </c>
      <c r="B1061" s="211" t="s">
        <v>68</v>
      </c>
      <c r="C1061" s="216" t="s">
        <v>1097</v>
      </c>
      <c r="D1061" s="222">
        <v>84.2</v>
      </c>
      <c r="E1061" s="222">
        <v>-7.9</v>
      </c>
      <c r="F1061" s="211">
        <v>-4</v>
      </c>
      <c r="I1061" s="218" t="str">
        <f>IFERROR(HLOOKUP('Air Source Heat Pump(s)'!D1035,'phius_monthly climate data'!$L$3:$CA$83,'phius_monthly climate data'!$CD1056,FALSE),"")</f>
        <v/>
      </c>
      <c r="CD1061" s="215">
        <v>1059</v>
      </c>
    </row>
    <row r="1062" spans="1:82" x14ac:dyDescent="0.35">
      <c r="A1062" s="211" t="s">
        <v>77</v>
      </c>
      <c r="B1062" s="211" t="s">
        <v>68</v>
      </c>
      <c r="C1062" s="216" t="s">
        <v>1098</v>
      </c>
      <c r="D1062" s="222">
        <v>86.4</v>
      </c>
      <c r="E1062" s="222">
        <v>3.6</v>
      </c>
      <c r="F1062" s="211">
        <v>-3</v>
      </c>
      <c r="I1062" s="218" t="str">
        <f>IFERROR(HLOOKUP('Air Source Heat Pump(s)'!D1036,'phius_monthly climate data'!$L$3:$CA$83,'phius_monthly climate data'!$CD1057,FALSE),"")</f>
        <v/>
      </c>
      <c r="CD1062" s="215">
        <v>1060</v>
      </c>
    </row>
    <row r="1063" spans="1:82" x14ac:dyDescent="0.35">
      <c r="A1063" s="211" t="s">
        <v>77</v>
      </c>
      <c r="B1063" s="211" t="s">
        <v>68</v>
      </c>
      <c r="C1063" s="216" t="s">
        <v>1099</v>
      </c>
      <c r="D1063" s="222">
        <v>81.8</v>
      </c>
      <c r="E1063" s="222">
        <v>-8.1999999999999993</v>
      </c>
      <c r="F1063" s="211">
        <v>-10</v>
      </c>
      <c r="I1063" s="218" t="str">
        <f>IFERROR(HLOOKUP('Air Source Heat Pump(s)'!D1037,'phius_monthly climate data'!$L$3:$CA$83,'phius_monthly climate data'!$CD1058,FALSE),"")</f>
        <v/>
      </c>
      <c r="CD1063" s="215">
        <v>1061</v>
      </c>
    </row>
    <row r="1064" spans="1:82" x14ac:dyDescent="0.35">
      <c r="A1064" s="211" t="s">
        <v>77</v>
      </c>
      <c r="B1064" s="211" t="s">
        <v>68</v>
      </c>
      <c r="C1064" s="216" t="s">
        <v>1100</v>
      </c>
      <c r="D1064" s="222">
        <v>83.6</v>
      </c>
      <c r="E1064" s="222">
        <v>-7.3</v>
      </c>
      <c r="F1064" s="211">
        <v>-7</v>
      </c>
      <c r="I1064" s="218" t="str">
        <f>IFERROR(HLOOKUP('Air Source Heat Pump(s)'!D1038,'phius_monthly climate data'!$L$3:$CA$83,'phius_monthly climate data'!$CD1059,FALSE),"")</f>
        <v/>
      </c>
      <c r="CD1064" s="215">
        <v>1062</v>
      </c>
    </row>
    <row r="1065" spans="1:82" x14ac:dyDescent="0.35">
      <c r="A1065" s="211" t="s">
        <v>77</v>
      </c>
      <c r="B1065" s="211" t="s">
        <v>68</v>
      </c>
      <c r="C1065" s="216" t="s">
        <v>1101</v>
      </c>
      <c r="D1065" s="222">
        <v>82.4</v>
      </c>
      <c r="E1065" s="222">
        <v>-12.5</v>
      </c>
      <c r="F1065" s="211">
        <v>-9</v>
      </c>
      <c r="I1065" s="218" t="str">
        <f>IFERROR(HLOOKUP('Air Source Heat Pump(s)'!D1039,'phius_monthly climate data'!$L$3:$CA$83,'phius_monthly climate data'!$CD1060,FALSE),"")</f>
        <v/>
      </c>
      <c r="CD1065" s="215">
        <v>1063</v>
      </c>
    </row>
    <row r="1066" spans="1:82" x14ac:dyDescent="0.35">
      <c r="A1066" s="211" t="s">
        <v>77</v>
      </c>
      <c r="B1066" s="211" t="s">
        <v>68</v>
      </c>
      <c r="C1066" s="216" t="s">
        <v>1102</v>
      </c>
      <c r="D1066" s="222">
        <v>82.7</v>
      </c>
      <c r="E1066" s="222">
        <v>-9.3000000000000007</v>
      </c>
      <c r="F1066" s="211">
        <v>-2</v>
      </c>
      <c r="I1066" s="218" t="str">
        <f>IFERROR(HLOOKUP('Air Source Heat Pump(s)'!D1040,'phius_monthly climate data'!$L$3:$CA$83,'phius_monthly climate data'!$CD1061,FALSE),"")</f>
        <v/>
      </c>
      <c r="CD1066" s="215">
        <v>1064</v>
      </c>
    </row>
    <row r="1067" spans="1:82" x14ac:dyDescent="0.35">
      <c r="A1067" s="211" t="s">
        <v>77</v>
      </c>
      <c r="B1067" s="211" t="s">
        <v>68</v>
      </c>
      <c r="C1067" s="216" t="s">
        <v>1103</v>
      </c>
      <c r="D1067" s="222">
        <v>84.2</v>
      </c>
      <c r="E1067" s="222">
        <v>-9.1</v>
      </c>
      <c r="F1067" s="211">
        <v>-4</v>
      </c>
      <c r="I1067" s="218" t="str">
        <f>IFERROR(HLOOKUP('Air Source Heat Pump(s)'!D1041,'phius_monthly climate data'!$L$3:$CA$83,'phius_monthly climate data'!$CD1062,FALSE),"")</f>
        <v/>
      </c>
      <c r="CD1067" s="215">
        <v>1065</v>
      </c>
    </row>
    <row r="1068" spans="1:82" x14ac:dyDescent="0.35">
      <c r="A1068" s="211" t="s">
        <v>77</v>
      </c>
      <c r="B1068" s="211" t="s">
        <v>68</v>
      </c>
      <c r="C1068" s="216" t="s">
        <v>1104</v>
      </c>
      <c r="D1068" s="222">
        <v>81.599999999999994</v>
      </c>
      <c r="E1068" s="222">
        <v>-0.1</v>
      </c>
      <c r="F1068" s="211">
        <v>8</v>
      </c>
      <c r="I1068" s="218" t="str">
        <f>IFERROR(HLOOKUP('Air Source Heat Pump(s)'!D1042,'phius_monthly climate data'!$L$3:$CA$83,'phius_monthly climate data'!$CD1063,FALSE),"")</f>
        <v/>
      </c>
      <c r="CD1068" s="215">
        <v>1066</v>
      </c>
    </row>
    <row r="1069" spans="1:82" x14ac:dyDescent="0.35">
      <c r="A1069" s="211" t="s">
        <v>77</v>
      </c>
      <c r="B1069" s="211" t="s">
        <v>68</v>
      </c>
      <c r="C1069" s="216" t="s">
        <v>1105</v>
      </c>
      <c r="D1069" s="222">
        <v>87.5</v>
      </c>
      <c r="E1069" s="222">
        <v>-0.4</v>
      </c>
      <c r="F1069" s="211">
        <v>10</v>
      </c>
      <c r="I1069" s="218" t="str">
        <f>IFERROR(HLOOKUP('Air Source Heat Pump(s)'!D1043,'phius_monthly climate data'!$L$3:$CA$83,'phius_monthly climate data'!$CD1064,FALSE),"")</f>
        <v/>
      </c>
      <c r="CD1069" s="215">
        <v>1067</v>
      </c>
    </row>
    <row r="1070" spans="1:82" x14ac:dyDescent="0.35">
      <c r="A1070" s="211" t="s">
        <v>77</v>
      </c>
      <c r="B1070" s="211" t="s">
        <v>68</v>
      </c>
      <c r="C1070" s="216" t="s">
        <v>1106</v>
      </c>
      <c r="D1070" s="222">
        <v>84.4</v>
      </c>
      <c r="E1070" s="222">
        <v>-7.1</v>
      </c>
      <c r="F1070" s="211">
        <v>0</v>
      </c>
      <c r="I1070" s="218" t="str">
        <f>IFERROR(HLOOKUP('Air Source Heat Pump(s)'!D1044,'phius_monthly climate data'!$L$3:$CA$83,'phius_monthly climate data'!$CD1065,FALSE),"")</f>
        <v/>
      </c>
      <c r="CD1070" s="215">
        <v>1068</v>
      </c>
    </row>
    <row r="1071" spans="1:82" x14ac:dyDescent="0.35">
      <c r="A1071" s="211" t="s">
        <v>77</v>
      </c>
      <c r="B1071" s="211" t="s">
        <v>68</v>
      </c>
      <c r="C1071" s="216" t="s">
        <v>1107</v>
      </c>
      <c r="D1071" s="222">
        <v>85.4</v>
      </c>
      <c r="E1071" s="222">
        <v>-1.6</v>
      </c>
      <c r="F1071" s="211">
        <v>0</v>
      </c>
      <c r="I1071" s="218" t="str">
        <f>IFERROR(HLOOKUP('Air Source Heat Pump(s)'!D1045,'phius_monthly climate data'!$L$3:$CA$83,'phius_monthly climate data'!$CD1066,FALSE),"")</f>
        <v/>
      </c>
      <c r="CD1071" s="215">
        <v>1069</v>
      </c>
    </row>
    <row r="1072" spans="1:82" x14ac:dyDescent="0.35">
      <c r="A1072" s="211" t="s">
        <v>77</v>
      </c>
      <c r="B1072" s="211" t="s">
        <v>69</v>
      </c>
      <c r="C1072" s="216" t="s">
        <v>1108</v>
      </c>
      <c r="D1072" s="222">
        <v>82.7</v>
      </c>
      <c r="E1072" s="222">
        <v>12</v>
      </c>
      <c r="F1072" s="211">
        <v>16</v>
      </c>
      <c r="I1072" s="218" t="str">
        <f>IFERROR(HLOOKUP('Air Source Heat Pump(s)'!D1046,'phius_monthly climate data'!$L$3:$CA$83,'phius_monthly climate data'!$CD1067,FALSE),"")</f>
        <v/>
      </c>
      <c r="CD1072" s="215">
        <v>1070</v>
      </c>
    </row>
    <row r="1073" spans="1:82" x14ac:dyDescent="0.35">
      <c r="A1073" s="211" t="s">
        <v>77</v>
      </c>
      <c r="B1073" s="211" t="s">
        <v>69</v>
      </c>
      <c r="C1073" s="216" t="s">
        <v>1109</v>
      </c>
      <c r="D1073" s="222">
        <v>83.8</v>
      </c>
      <c r="E1073" s="222">
        <v>13.9</v>
      </c>
      <c r="F1073" s="211">
        <v>15</v>
      </c>
      <c r="I1073" s="218" t="str">
        <f>IFERROR(HLOOKUP('Air Source Heat Pump(s)'!D1047,'phius_monthly climate data'!$L$3:$CA$83,'phius_monthly climate data'!$CD1068,FALSE),"")</f>
        <v/>
      </c>
      <c r="CD1073" s="215">
        <v>1071</v>
      </c>
    </row>
    <row r="1074" spans="1:82" x14ac:dyDescent="0.35">
      <c r="A1074" s="211" t="s">
        <v>77</v>
      </c>
      <c r="B1074" s="211" t="s">
        <v>69</v>
      </c>
      <c r="C1074" s="216" t="s">
        <v>1110</v>
      </c>
      <c r="D1074" s="222">
        <v>88.8</v>
      </c>
      <c r="E1074" s="222">
        <v>15.8</v>
      </c>
      <c r="F1074" s="211">
        <v>10</v>
      </c>
      <c r="I1074" s="218" t="str">
        <f>IFERROR(HLOOKUP('Air Source Heat Pump(s)'!D1048,'phius_monthly climate data'!$L$3:$CA$83,'phius_monthly climate data'!$CD1069,FALSE),"")</f>
        <v/>
      </c>
      <c r="CD1074" s="215">
        <v>1072</v>
      </c>
    </row>
    <row r="1075" spans="1:82" x14ac:dyDescent="0.35">
      <c r="A1075" s="211" t="s">
        <v>77</v>
      </c>
      <c r="B1075" s="211" t="s">
        <v>69</v>
      </c>
      <c r="C1075" s="216" t="s">
        <v>1111</v>
      </c>
      <c r="D1075" s="222">
        <v>84.4</v>
      </c>
      <c r="E1075" s="222">
        <v>8.1999999999999993</v>
      </c>
      <c r="F1075" s="211">
        <v>4</v>
      </c>
      <c r="I1075" s="218" t="str">
        <f>IFERROR(HLOOKUP('Air Source Heat Pump(s)'!D1049,'phius_monthly climate data'!$L$3:$CA$83,'phius_monthly climate data'!$CD1070,FALSE),"")</f>
        <v/>
      </c>
      <c r="CD1075" s="215">
        <v>1073</v>
      </c>
    </row>
    <row r="1076" spans="1:82" x14ac:dyDescent="0.35">
      <c r="A1076" s="211" t="s">
        <v>77</v>
      </c>
      <c r="B1076" s="211" t="s">
        <v>69</v>
      </c>
      <c r="C1076" s="216" t="s">
        <v>1112</v>
      </c>
      <c r="D1076" s="222">
        <v>86.7</v>
      </c>
      <c r="E1076" s="222">
        <v>12.4</v>
      </c>
      <c r="F1076" s="211">
        <v>21</v>
      </c>
      <c r="I1076" s="218" t="str">
        <f>IFERROR(HLOOKUP('Air Source Heat Pump(s)'!D1050,'phius_monthly climate data'!$L$3:$CA$83,'phius_monthly climate data'!$CD1071,FALSE),"")</f>
        <v/>
      </c>
      <c r="CD1076" s="215">
        <v>1074</v>
      </c>
    </row>
    <row r="1077" spans="1:82" x14ac:dyDescent="0.35">
      <c r="A1077" s="211" t="s">
        <v>77</v>
      </c>
      <c r="B1077" s="211" t="s">
        <v>69</v>
      </c>
      <c r="C1077" s="216" t="s">
        <v>1113</v>
      </c>
      <c r="D1077" s="222">
        <v>89.2</v>
      </c>
      <c r="E1077" s="222">
        <v>15.8</v>
      </c>
      <c r="F1077" s="211">
        <v>17</v>
      </c>
      <c r="I1077" s="218" t="str">
        <f>IFERROR(HLOOKUP('Air Source Heat Pump(s)'!D1051,'phius_monthly climate data'!$L$3:$CA$83,'phius_monthly climate data'!$CD1072,FALSE),"")</f>
        <v/>
      </c>
      <c r="CD1077" s="215">
        <v>1075</v>
      </c>
    </row>
    <row r="1078" spans="1:82" x14ac:dyDescent="0.35">
      <c r="A1078" s="211" t="s">
        <v>77</v>
      </c>
      <c r="B1078" s="211" t="s">
        <v>69</v>
      </c>
      <c r="C1078" s="216" t="s">
        <v>1114</v>
      </c>
      <c r="D1078" s="222">
        <v>84.1</v>
      </c>
      <c r="E1078" s="222">
        <v>11.8</v>
      </c>
      <c r="F1078" s="211">
        <v>6</v>
      </c>
      <c r="I1078" s="218" t="str">
        <f>IFERROR(HLOOKUP('Air Source Heat Pump(s)'!D1052,'phius_monthly climate data'!$L$3:$CA$83,'phius_monthly climate data'!$CD1073,FALSE),"")</f>
        <v/>
      </c>
      <c r="CD1078" s="215">
        <v>1076</v>
      </c>
    </row>
    <row r="1079" spans="1:82" x14ac:dyDescent="0.35">
      <c r="A1079" s="211" t="s">
        <v>77</v>
      </c>
      <c r="B1079" s="211" t="s">
        <v>69</v>
      </c>
      <c r="C1079" s="216" t="s">
        <v>1115</v>
      </c>
      <c r="D1079" s="222">
        <v>90.1</v>
      </c>
      <c r="E1079" s="222">
        <v>16.100000000000001</v>
      </c>
      <c r="F1079" s="211">
        <v>18</v>
      </c>
      <c r="I1079" s="218" t="str">
        <f>IFERROR(HLOOKUP('Air Source Heat Pump(s)'!D1053,'phius_monthly climate data'!$L$3:$CA$83,'phius_monthly climate data'!$CD1074,FALSE),"")</f>
        <v/>
      </c>
      <c r="CD1079" s="215">
        <v>1077</v>
      </c>
    </row>
    <row r="1080" spans="1:82" x14ac:dyDescent="0.35">
      <c r="A1080" s="211" t="s">
        <v>77</v>
      </c>
      <c r="B1080" s="211" t="s">
        <v>69</v>
      </c>
      <c r="C1080" s="216" t="s">
        <v>1116</v>
      </c>
      <c r="D1080" s="222">
        <v>87</v>
      </c>
      <c r="E1080" s="222">
        <v>12.9</v>
      </c>
      <c r="F1080" s="211">
        <v>0</v>
      </c>
      <c r="I1080" s="218" t="str">
        <f>IFERROR(HLOOKUP('Air Source Heat Pump(s)'!D1054,'phius_monthly climate data'!$L$3:$CA$83,'phius_monthly climate data'!$CD1075,FALSE),"")</f>
        <v/>
      </c>
      <c r="CD1080" s="215">
        <v>1078</v>
      </c>
    </row>
    <row r="1081" spans="1:82" x14ac:dyDescent="0.35">
      <c r="A1081" s="211" t="s">
        <v>77</v>
      </c>
      <c r="B1081" s="211" t="s">
        <v>69</v>
      </c>
      <c r="C1081" s="216" t="s">
        <v>1117</v>
      </c>
      <c r="D1081" s="222">
        <v>88.1</v>
      </c>
      <c r="E1081" s="222">
        <v>13.6</v>
      </c>
      <c r="F1081" s="211">
        <v>14</v>
      </c>
      <c r="I1081" s="218" t="str">
        <f>IFERROR(HLOOKUP('Air Source Heat Pump(s)'!D1055,'phius_monthly climate data'!$L$3:$CA$83,'phius_monthly climate data'!$CD1076,FALSE),"")</f>
        <v/>
      </c>
      <c r="CD1081" s="215">
        <v>1079</v>
      </c>
    </row>
    <row r="1082" spans="1:82" x14ac:dyDescent="0.35">
      <c r="A1082" s="211" t="s">
        <v>77</v>
      </c>
      <c r="B1082" s="211" t="s">
        <v>69</v>
      </c>
      <c r="C1082" s="216" t="s">
        <v>1118</v>
      </c>
      <c r="D1082" s="222">
        <v>85.6</v>
      </c>
      <c r="E1082" s="222">
        <v>10.4</v>
      </c>
      <c r="F1082" s="211">
        <v>17</v>
      </c>
      <c r="I1082" s="218" t="str">
        <f>IFERROR(HLOOKUP('Air Source Heat Pump(s)'!D1056,'phius_monthly climate data'!$L$3:$CA$83,'phius_monthly climate data'!$CD1077,FALSE),"")</f>
        <v/>
      </c>
      <c r="CD1082" s="215">
        <v>1080</v>
      </c>
    </row>
    <row r="1083" spans="1:82" x14ac:dyDescent="0.35">
      <c r="A1083" s="211" t="s">
        <v>77</v>
      </c>
      <c r="B1083" s="211" t="s">
        <v>70</v>
      </c>
      <c r="C1083" s="216" t="s">
        <v>1119</v>
      </c>
      <c r="D1083" s="222">
        <v>91.2</v>
      </c>
      <c r="E1083" s="222">
        <v>-1</v>
      </c>
      <c r="F1083" s="211">
        <v>10</v>
      </c>
      <c r="I1083" s="218" t="str">
        <f>IFERROR(HLOOKUP('Air Source Heat Pump(s)'!D1057,'phius_monthly climate data'!$L$3:$CA$83,'phius_monthly climate data'!$CD1078,FALSE),"")</f>
        <v/>
      </c>
      <c r="CD1083" s="215">
        <v>1081</v>
      </c>
    </row>
    <row r="1084" spans="1:82" x14ac:dyDescent="0.35">
      <c r="A1084" s="211" t="s">
        <v>77</v>
      </c>
      <c r="B1084" s="211" t="s">
        <v>70</v>
      </c>
      <c r="C1084" s="216" t="s">
        <v>1120</v>
      </c>
      <c r="D1084" s="222">
        <v>86.9</v>
      </c>
      <c r="E1084" s="222">
        <v>2.6</v>
      </c>
      <c r="F1084" s="211">
        <v>11</v>
      </c>
      <c r="CD1084" s="215">
        <v>1082</v>
      </c>
    </row>
    <row r="1085" spans="1:82" x14ac:dyDescent="0.35">
      <c r="A1085" s="211" t="s">
        <v>77</v>
      </c>
      <c r="B1085" s="211" t="s">
        <v>70</v>
      </c>
      <c r="C1085" s="216" t="s">
        <v>1121</v>
      </c>
      <c r="D1085" s="222">
        <v>88</v>
      </c>
      <c r="E1085" s="222">
        <v>-3.7</v>
      </c>
      <c r="F1085" s="211">
        <v>-3</v>
      </c>
      <c r="I1085" s="218" t="str">
        <f>IFERROR(HLOOKUP('Air Source Heat Pump(s)'!D1058,'phius_monthly climate data'!$L$3:$CA$83,'phius_monthly climate data'!$CD1080,FALSE),"")</f>
        <v/>
      </c>
      <c r="CD1085" s="215">
        <v>1083</v>
      </c>
    </row>
    <row r="1086" spans="1:82" x14ac:dyDescent="0.35">
      <c r="A1086" s="211" t="s">
        <v>77</v>
      </c>
      <c r="B1086" s="211" t="s">
        <v>70</v>
      </c>
      <c r="C1086" s="216" t="s">
        <v>1193</v>
      </c>
      <c r="D1086" s="222">
        <v>84</v>
      </c>
      <c r="E1086" s="222">
        <v>2.9</v>
      </c>
      <c r="F1086" s="211">
        <v>8.7799999999999994</v>
      </c>
      <c r="CD1086" s="215">
        <v>1084</v>
      </c>
    </row>
    <row r="1087" spans="1:82" x14ac:dyDescent="0.35">
      <c r="A1087" s="211" t="s">
        <v>77</v>
      </c>
      <c r="B1087" s="211" t="s">
        <v>70</v>
      </c>
      <c r="C1087" s="216" t="s">
        <v>1122</v>
      </c>
      <c r="D1087" s="222">
        <v>91.5</v>
      </c>
      <c r="E1087" s="222">
        <v>-2.4</v>
      </c>
      <c r="F1087" s="211">
        <v>-4</v>
      </c>
      <c r="I1087" s="218" t="str">
        <f>IFERROR(HLOOKUP('Air Source Heat Pump(s)'!D1059,'phius_monthly climate data'!$L$3:$CA$83,'phius_monthly climate data'!$CD1082,FALSE),"")</f>
        <v/>
      </c>
      <c r="CD1087" s="215">
        <v>1085</v>
      </c>
    </row>
    <row r="1088" spans="1:82" x14ac:dyDescent="0.35">
      <c r="A1088" s="211" t="s">
        <v>77</v>
      </c>
      <c r="B1088" s="211" t="s">
        <v>70</v>
      </c>
      <c r="C1088" s="216" t="s">
        <v>1194</v>
      </c>
      <c r="D1088" s="222">
        <v>85.9</v>
      </c>
      <c r="E1088" s="222">
        <v>1.1000000000000001</v>
      </c>
      <c r="F1088" s="211">
        <v>-5.26</v>
      </c>
      <c r="I1088" s="218" t="str">
        <f>IFERROR(HLOOKUP('Air Source Heat Pump(s)'!D1060,'phius_monthly climate data'!$L$3:$CA$83,'phius_monthly climate data'!$CD1083,FALSE),"")</f>
        <v/>
      </c>
      <c r="CD1088" s="215">
        <v>1086</v>
      </c>
    </row>
    <row r="1089" spans="1:82" x14ac:dyDescent="0.35">
      <c r="A1089" s="211" t="s">
        <v>77</v>
      </c>
      <c r="B1089" s="211" t="s">
        <v>70</v>
      </c>
      <c r="C1089" s="216" t="s">
        <v>1123</v>
      </c>
      <c r="D1089" s="222">
        <v>81.3</v>
      </c>
      <c r="E1089" s="222">
        <v>-9</v>
      </c>
      <c r="F1089" s="211">
        <v>-1</v>
      </c>
      <c r="I1089" s="218" t="str">
        <f>IFERROR(HLOOKUP('Air Source Heat Pump(s)'!D1061,'phius_monthly climate data'!$L$3:$CA$83,'phius_monthly climate data'!$CD1084,FALSE),"")</f>
        <v/>
      </c>
      <c r="CD1089" s="215">
        <v>1087</v>
      </c>
    </row>
    <row r="1090" spans="1:82" x14ac:dyDescent="0.35">
      <c r="A1090" s="211" t="s">
        <v>77</v>
      </c>
      <c r="B1090" s="211" t="s">
        <v>70</v>
      </c>
      <c r="C1090" s="216" t="s">
        <v>1124</v>
      </c>
      <c r="D1090" s="222">
        <v>89.4</v>
      </c>
      <c r="E1090" s="222">
        <v>-1.8</v>
      </c>
      <c r="F1090" s="211">
        <v>-5</v>
      </c>
      <c r="I1090" s="218" t="str">
        <f>IFERROR(HLOOKUP('Air Source Heat Pump(s)'!D1062,'phius_monthly climate data'!$L$3:$CA$83,'phius_monthly climate data'!$CD1085,FALSE),"")</f>
        <v/>
      </c>
      <c r="CD1090" s="215">
        <v>1088</v>
      </c>
    </row>
    <row r="1091" spans="1:82" x14ac:dyDescent="0.35">
      <c r="A1091" s="211" t="s">
        <v>77</v>
      </c>
      <c r="B1091" s="211" t="s">
        <v>70</v>
      </c>
      <c r="C1091" s="216" t="s">
        <v>1125</v>
      </c>
      <c r="D1091" s="222">
        <v>82.4</v>
      </c>
      <c r="E1091" s="222">
        <v>-3.4</v>
      </c>
      <c r="F1091" s="211">
        <v>11</v>
      </c>
      <c r="I1091" s="218" t="str">
        <f>IFERROR(HLOOKUP('Air Source Heat Pump(s)'!D1063,'phius_monthly climate data'!$L$3:$CA$83,'phius_monthly climate data'!$CD1086,FALSE),"")</f>
        <v/>
      </c>
      <c r="CD1091" s="215">
        <v>1089</v>
      </c>
    </row>
    <row r="1092" spans="1:82" x14ac:dyDescent="0.35">
      <c r="A1092" s="211" t="s">
        <v>77</v>
      </c>
      <c r="B1092" s="211" t="s">
        <v>70</v>
      </c>
      <c r="C1092" s="216" t="s">
        <v>1126</v>
      </c>
      <c r="D1092" s="222">
        <v>87.1</v>
      </c>
      <c r="E1092" s="222">
        <v>-1.2</v>
      </c>
      <c r="F1092" s="211">
        <v>15</v>
      </c>
      <c r="I1092" s="218" t="str">
        <f>IFERROR(HLOOKUP('Air Source Heat Pump(s)'!D1064,'phius_monthly climate data'!$L$3:$CA$83,'phius_monthly climate data'!$CD1087,FALSE),"")</f>
        <v/>
      </c>
      <c r="CD1092" s="215">
        <v>1090</v>
      </c>
    </row>
    <row r="1093" spans="1:82" x14ac:dyDescent="0.35">
      <c r="A1093" s="211" t="s">
        <v>77</v>
      </c>
      <c r="B1093" s="211" t="s">
        <v>70</v>
      </c>
      <c r="C1093" s="216" t="s">
        <v>1127</v>
      </c>
      <c r="D1093" s="222">
        <v>90.2</v>
      </c>
      <c r="E1093" s="222">
        <v>-2.2000000000000002</v>
      </c>
      <c r="F1093" s="211">
        <v>3</v>
      </c>
      <c r="I1093" s="218" t="str">
        <f>IFERROR(HLOOKUP('Air Source Heat Pump(s)'!D1065,'phius_monthly climate data'!$L$3:$CA$83,'phius_monthly climate data'!$CD1088,FALSE),"")</f>
        <v/>
      </c>
      <c r="CD1093" s="215">
        <v>1091</v>
      </c>
    </row>
    <row r="1094" spans="1:82" x14ac:dyDescent="0.35">
      <c r="A1094" s="211" t="s">
        <v>77</v>
      </c>
      <c r="B1094" s="211" t="s">
        <v>70</v>
      </c>
      <c r="C1094" s="216" t="s">
        <v>1128</v>
      </c>
      <c r="D1094" s="222">
        <v>91.8</v>
      </c>
      <c r="E1094" s="222">
        <v>-4.4000000000000004</v>
      </c>
      <c r="F1094" s="211">
        <v>3</v>
      </c>
      <c r="I1094" s="218" t="str">
        <f>IFERROR(HLOOKUP('Air Source Heat Pump(s)'!D1066,'phius_monthly climate data'!$L$3:$CA$83,'phius_monthly climate data'!$CD1089,FALSE),"")</f>
        <v/>
      </c>
      <c r="CD1094" s="215">
        <v>1092</v>
      </c>
    </row>
    <row r="1095" spans="1:82" x14ac:dyDescent="0.35">
      <c r="A1095" s="211" t="s">
        <v>77</v>
      </c>
      <c r="B1095" s="211" t="s">
        <v>70</v>
      </c>
      <c r="C1095" s="216" t="s">
        <v>1129</v>
      </c>
      <c r="D1095" s="222">
        <v>92.9</v>
      </c>
      <c r="E1095" s="222">
        <v>-7.5</v>
      </c>
      <c r="F1095" s="211">
        <v>4</v>
      </c>
      <c r="I1095" s="218" t="str">
        <f>IFERROR(HLOOKUP('Air Source Heat Pump(s)'!D1067,'phius_monthly climate data'!$L$3:$CA$83,'phius_monthly climate data'!$CD1095,FALSE),"")</f>
        <v/>
      </c>
    </row>
    <row r="1096" spans="1:82" x14ac:dyDescent="0.35">
      <c r="A1096" s="211" t="s">
        <v>72</v>
      </c>
      <c r="B1096" s="211" t="s">
        <v>71</v>
      </c>
      <c r="C1096" s="216" t="s">
        <v>1130</v>
      </c>
      <c r="D1096" s="222">
        <v>74.099999999999994</v>
      </c>
      <c r="E1096" s="222">
        <v>-30.2</v>
      </c>
      <c r="F1096" s="211">
        <v>-28</v>
      </c>
      <c r="I1096" s="218" t="str">
        <f>IFERROR(HLOOKUP('Air Source Heat Pump(s)'!D1068,'phius_monthly climate data'!$L$3:$CA$83,'phius_monthly climate data'!$CD1096,FALSE),"")</f>
        <v/>
      </c>
    </row>
  </sheetData>
  <sheetProtection sheet="1" objects="1" scenario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HOW TO USE</vt:lpstr>
      <vt:lpstr>Air Source Heat Pump(s)</vt:lpstr>
      <vt:lpstr>Example</vt:lpstr>
      <vt:lpstr>phius_monthly climate 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jpsor</dc:creator>
  <cp:lastModifiedBy>Lisa White</cp:lastModifiedBy>
  <dcterms:created xsi:type="dcterms:W3CDTF">2021-04-16T15:51:56Z</dcterms:created>
  <dcterms:modified xsi:type="dcterms:W3CDTF">2023-10-13T04:16:07Z</dcterms:modified>
</cp:coreProperties>
</file>