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tables/table3.xml" ContentType="application/vnd.openxmlformats-officedocument.spreadsheetml.table+xml"/>
  <Override PartName="/xl/drawings/drawing12.xml" ContentType="application/vnd.openxmlformats-officedocument.drawing+xml"/>
  <Override PartName="/xl/tables/table4.xml" ContentType="application/vnd.openxmlformats-officedocument.spreadsheetml.table+xml"/>
  <Override PartName="/xl/drawings/drawing1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5.xml" ContentType="application/vnd.openxmlformats-officedocument.spreadsheetml.comments+xml"/>
  <Override PartName="/xl/drawings/drawing1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15.xml" ContentType="application/vnd.openxmlformats-officedocument.drawing+xml"/>
  <Override PartName="/xl/tables/table9.xml" ContentType="application/vnd.openxmlformats-officedocument.spreadsheetml.table+xml"/>
  <Override PartName="/xl/drawings/drawing16.xml" ContentType="application/vnd.openxmlformats-officedocument.drawing+xml"/>
  <Override PartName="/xl/tables/table10.xml" ContentType="application/vnd.openxmlformats-officedocument.spreadsheetml.table+xml"/>
  <Override PartName="/xl/drawings/drawing17.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9.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21.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codeName="ThisWorkbook" autoCompressPictures="0"/>
  <mc:AlternateContent xmlns:mc="http://schemas.openxmlformats.org/markup-compatibility/2006">
    <mc:Choice Requires="x15">
      <x15ac:absPath xmlns:x15ac="http://schemas.microsoft.com/office/spreadsheetml/2010/11/ac" url="C:\Users\lwhit\Documents\Phius\Website\Downloads &amp; Resources\"/>
    </mc:Choice>
  </mc:AlternateContent>
  <xr:revisionPtr revIDLastSave="0" documentId="8_{0A4FF087-52EA-4A9C-B90A-BDF760D97CE9}" xr6:coauthVersionLast="47" xr6:coauthVersionMax="47" xr10:uidLastSave="{00000000-0000-0000-0000-000000000000}"/>
  <bookViews>
    <workbookView xWindow="-108" yWindow="-108" windowWidth="23256" windowHeight="12456" tabRatio="844" firstSheet="7" xr2:uid="{00000000-000D-0000-FFFF-FFFF00000000}"/>
  </bookViews>
  <sheets>
    <sheet name="Cover Sheet" sheetId="1" r:id="rId1"/>
    <sheet name="Building Envelope" sheetId="2" r:id="rId2"/>
    <sheet name="Compartmentalization" sheetId="40" r:id="rId3"/>
    <sheet name="Ventilation" sheetId="3" r:id="rId4"/>
    <sheet name="Heat + Cool" sheetId="12" r:id="rId5"/>
    <sheet name="Hot Water" sheetId="7" r:id="rId6"/>
    <sheet name="Lighting &amp; Electric Loads" sheetId="23" r:id="rId7"/>
    <sheet name="IAQ" sheetId="41" r:id="rId8"/>
    <sheet name="NOTES For MFNC Doc's" sheetId="19" r:id="rId9"/>
    <sheet name="ES  Project Information" sheetId="24" r:id="rId10"/>
    <sheet name="ES Must Correct Report" sheetId="25" r:id="rId11"/>
    <sheet name="ES 1a. Rater Design Checklist" sheetId="26" r:id="rId12"/>
    <sheet name="ES 1b. Rater Field Checklist" sheetId="27" r:id="rId13"/>
    <sheet name="ES 2. Unit Testing Results" sheetId="28" r:id="rId14"/>
    <sheet name="ES 3a. Common Area Ventilation" sheetId="29" r:id="rId15"/>
    <sheet name="ES 3b.Central Exhaust Duct Test" sheetId="31" r:id="rId16"/>
    <sheet name="ES 4. Appliances" sheetId="32" r:id="rId17"/>
    <sheet name="ES 6. Fenestration" sheetId="33" r:id="rId18"/>
    <sheet name="ES 7. Heated Plenum or Garage" sheetId="34" r:id="rId19"/>
    <sheet name="ES 8. DHW_SHW Schedule" sheetId="35" r:id="rId20"/>
    <sheet name="ES 9. Heating Cooling Schedule" sheetId="36" r:id="rId21"/>
    <sheet name="ES 10. Lighting" sheetId="37" r:id="rId22"/>
    <sheet name="ES 11. Ventilation Schedule" sheetId="38" r:id="rId23"/>
    <sheet name="ES Reference Tables" sheetId="39" r:id="rId24"/>
  </sheets>
  <externalReferences>
    <externalReference r:id="rId25"/>
    <externalReference r:id="rId26"/>
    <externalReference r:id="rId27"/>
  </externalReferences>
  <definedNames>
    <definedName name="_xlnm._FilterDatabase" localSheetId="11" hidden="1">'ES 1a. Rater Design Checklist'!$C$8:$K$116</definedName>
    <definedName name="_xlnm._FilterDatabase" localSheetId="12" hidden="1">'ES 1b. Rater Field Checklist'!$C$9:$H$276</definedName>
    <definedName name="_xlnm._FilterDatabase" localSheetId="10" hidden="1">'ES Must Correct Report'!$A$1:$C$1</definedName>
    <definedName name="_Hlk514071204" localSheetId="11">'ES 1a. Rater Design Checklist'!#REF!</definedName>
    <definedName name="_Hlk514071204" localSheetId="12">'ES 1b. Rater Field Checklist'!$C$138</definedName>
    <definedName name="delete" localSheetId="11">#REF!</definedName>
    <definedName name="delete" localSheetId="15">#REF!</definedName>
    <definedName name="delete">#REF!</definedName>
    <definedName name="Low_Flow_Toilets" localSheetId="11">#REF!</definedName>
    <definedName name="Low_Flow_Toilets" localSheetId="15">#REF!</definedName>
    <definedName name="Low_Flow_Toilets">#REF!</definedName>
    <definedName name="_xlnm.Print_Area" localSheetId="11">'ES 1a. Rater Design Checklist'!$B$1:$G$119</definedName>
    <definedName name="_xlnm.Print_Area" localSheetId="12">'ES 1b. Rater Field Checklist'!$B$1:$H$271</definedName>
    <definedName name="_xlnm.Print_Area" localSheetId="10">'ES Must Correct Report'!$A$2:$C$214</definedName>
    <definedName name="_xlnm.Print_Area" localSheetId="7">IAQ!$A$1:$AR$73</definedName>
    <definedName name="_xlnm.Print_Area" localSheetId="8">'NOTES For MFNC Doc''s'!$A$1:$AR$73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J69" i="41" l="1"/>
  <c r="Q69" i="41"/>
  <c r="AA68" i="41"/>
  <c r="I68" i="41"/>
  <c r="AA67" i="41"/>
  <c r="I67" i="41"/>
  <c r="AL13" i="41"/>
  <c r="AI13" i="41"/>
  <c r="Z13" i="41"/>
  <c r="I13" i="41"/>
  <c r="O32" i="40" l="1"/>
  <c r="M32" i="40"/>
  <c r="K32" i="40"/>
  <c r="I32" i="40"/>
  <c r="G32" i="40"/>
  <c r="E32" i="40"/>
  <c r="C32" i="40"/>
  <c r="O24" i="40"/>
  <c r="N24" i="40"/>
  <c r="M24" i="40"/>
  <c r="L24" i="40"/>
  <c r="K24" i="40"/>
  <c r="I24" i="40"/>
  <c r="H24" i="40"/>
  <c r="G24" i="40"/>
  <c r="F24" i="40"/>
  <c r="E24" i="40"/>
  <c r="D24" i="40"/>
  <c r="N23" i="40"/>
  <c r="L23" i="40"/>
  <c r="H23" i="40"/>
  <c r="F23" i="40"/>
  <c r="D23" i="40"/>
  <c r="N20" i="40"/>
  <c r="L20" i="40"/>
  <c r="H20" i="40"/>
  <c r="F20" i="40"/>
  <c r="D20" i="40"/>
  <c r="B20" i="40"/>
  <c r="O17" i="40"/>
  <c r="M17" i="40"/>
  <c r="K17" i="40"/>
  <c r="I17" i="40"/>
  <c r="G17" i="40"/>
  <c r="E17" i="40"/>
  <c r="C17" i="40"/>
  <c r="G10" i="40"/>
  <c r="N10" i="40" s="1"/>
  <c r="B34" i="40" s="1"/>
  <c r="S97" i="39" l="1"/>
  <c r="S96" i="39"/>
  <c r="AD66" i="39"/>
  <c r="S66" i="39"/>
  <c r="S49" i="39"/>
  <c r="S48" i="39"/>
  <c r="S43" i="39"/>
  <c r="S42" i="39"/>
  <c r="AD37" i="39"/>
  <c r="S37" i="39"/>
  <c r="AD31" i="39"/>
  <c r="S31" i="39"/>
  <c r="S26" i="39"/>
  <c r="S18" i="39"/>
  <c r="AK79" i="37"/>
  <c r="AJ79" i="37"/>
  <c r="AK78" i="37"/>
  <c r="AJ78" i="37"/>
  <c r="AK77" i="37"/>
  <c r="AK80" i="37" s="1"/>
  <c r="AJ77" i="37"/>
  <c r="AJ80" i="37" s="1"/>
  <c r="AH75" i="37"/>
  <c r="AG75" i="37"/>
  <c r="AF75" i="37"/>
  <c r="AE75" i="37"/>
  <c r="AD75" i="37"/>
  <c r="AC75" i="37"/>
  <c r="AB75" i="37"/>
  <c r="AA75" i="37"/>
  <c r="Z75" i="37"/>
  <c r="Y75" i="37"/>
  <c r="X75" i="37"/>
  <c r="W75" i="37"/>
  <c r="V75" i="37"/>
  <c r="U75" i="37"/>
  <c r="T75" i="37"/>
  <c r="S75" i="37"/>
  <c r="R75" i="37"/>
  <c r="Q75" i="37"/>
  <c r="P75" i="37"/>
  <c r="O75" i="37"/>
  <c r="N75" i="37"/>
  <c r="M75" i="37"/>
  <c r="L75" i="37"/>
  <c r="K75" i="37"/>
  <c r="J75" i="37"/>
  <c r="I75" i="37"/>
  <c r="Q68" i="37"/>
  <c r="P68" i="37"/>
  <c r="N68" i="37"/>
  <c r="AL67" i="37"/>
  <c r="AN67" i="37" s="1"/>
  <c r="AK67" i="37"/>
  <c r="AJ67" i="37"/>
  <c r="G67" i="37"/>
  <c r="AM67" i="37" s="1"/>
  <c r="AH65" i="37"/>
  <c r="AG65" i="37"/>
  <c r="AF65" i="37"/>
  <c r="AE65" i="37"/>
  <c r="AD65" i="37"/>
  <c r="AC65" i="37"/>
  <c r="AB65" i="37"/>
  <c r="AA65" i="37"/>
  <c r="Z65" i="37"/>
  <c r="Y65" i="37"/>
  <c r="X65" i="37"/>
  <c r="W65" i="37"/>
  <c r="V65" i="37"/>
  <c r="U65" i="37"/>
  <c r="T65" i="37"/>
  <c r="S65" i="37"/>
  <c r="R65" i="37"/>
  <c r="Q65" i="37"/>
  <c r="P65" i="37"/>
  <c r="O65" i="37"/>
  <c r="N65" i="37"/>
  <c r="M65" i="37"/>
  <c r="L65" i="37"/>
  <c r="K65" i="37"/>
  <c r="J65" i="37"/>
  <c r="I65" i="37"/>
  <c r="AH55" i="37"/>
  <c r="AG55" i="37"/>
  <c r="AF55" i="37"/>
  <c r="AE55" i="37"/>
  <c r="AD55" i="37"/>
  <c r="AC55" i="37"/>
  <c r="AB55" i="37"/>
  <c r="AA55" i="37"/>
  <c r="Z55" i="37"/>
  <c r="Y55" i="37"/>
  <c r="X55" i="37"/>
  <c r="W55" i="37"/>
  <c r="V55" i="37"/>
  <c r="U55" i="37"/>
  <c r="T55" i="37"/>
  <c r="S55" i="37"/>
  <c r="R55" i="37"/>
  <c r="Q55" i="37"/>
  <c r="P55" i="37"/>
  <c r="O55" i="37"/>
  <c r="N55" i="37"/>
  <c r="M55" i="37"/>
  <c r="L55" i="37"/>
  <c r="K55" i="37"/>
  <c r="J55" i="37"/>
  <c r="I55" i="37"/>
  <c r="E55" i="37"/>
  <c r="AL54" i="37"/>
  <c r="AK54" i="37"/>
  <c r="AJ54" i="37"/>
  <c r="H54" i="37"/>
  <c r="AM54" i="37" s="1"/>
  <c r="G54" i="37"/>
  <c r="AL53" i="37"/>
  <c r="AK53" i="37"/>
  <c r="AJ53" i="37"/>
  <c r="H53" i="37"/>
  <c r="AM53" i="37" s="1"/>
  <c r="G53" i="37"/>
  <c r="AN53" i="37" s="1"/>
  <c r="AO53" i="37" s="1"/>
  <c r="AL52" i="37"/>
  <c r="AK52" i="37"/>
  <c r="AJ52" i="37"/>
  <c r="H52" i="37"/>
  <c r="AP52" i="37" s="1"/>
  <c r="G52" i="37"/>
  <c r="AO51" i="37"/>
  <c r="AN51" i="37"/>
  <c r="AL51" i="37"/>
  <c r="AK51" i="37"/>
  <c r="AJ51" i="37"/>
  <c r="H51" i="37"/>
  <c r="AQ51" i="37" s="1"/>
  <c r="G51" i="37"/>
  <c r="AL50" i="37"/>
  <c r="AK50" i="37"/>
  <c r="AJ50" i="37"/>
  <c r="H50" i="37"/>
  <c r="AQ50" i="37" s="1"/>
  <c r="G50" i="37"/>
  <c r="AN50" i="37" s="1"/>
  <c r="AO50" i="37" s="1"/>
  <c r="AO49" i="37"/>
  <c r="AN49" i="37"/>
  <c r="AL49" i="37"/>
  <c r="AK49" i="37"/>
  <c r="AJ49" i="37"/>
  <c r="H49" i="37"/>
  <c r="AM49" i="37" s="1"/>
  <c r="G49" i="37"/>
  <c r="AL48" i="37"/>
  <c r="AK48" i="37"/>
  <c r="AJ48" i="37"/>
  <c r="H48" i="37"/>
  <c r="AP48" i="37" s="1"/>
  <c r="G48" i="37"/>
  <c r="AN48" i="37" s="1"/>
  <c r="AO48" i="37" s="1"/>
  <c r="AO47" i="37"/>
  <c r="AN47" i="37"/>
  <c r="AL47" i="37"/>
  <c r="AL55" i="37" s="1"/>
  <c r="AK47" i="37"/>
  <c r="AK55" i="37" s="1"/>
  <c r="AJ47" i="37"/>
  <c r="H47" i="37"/>
  <c r="AQ47" i="37" s="1"/>
  <c r="G47" i="37"/>
  <c r="AH45" i="37"/>
  <c r="AG45" i="37"/>
  <c r="AF45" i="37"/>
  <c r="AE45" i="37"/>
  <c r="AD45" i="37"/>
  <c r="AC45" i="37"/>
  <c r="AB45" i="37"/>
  <c r="AA45" i="37"/>
  <c r="Z45" i="37"/>
  <c r="Y45" i="37"/>
  <c r="X45" i="37"/>
  <c r="W45" i="37"/>
  <c r="V45" i="37"/>
  <c r="U45" i="37"/>
  <c r="T45" i="37"/>
  <c r="S45" i="37"/>
  <c r="R45" i="37"/>
  <c r="Q45" i="37"/>
  <c r="P45" i="37"/>
  <c r="O45" i="37"/>
  <c r="N45" i="37"/>
  <c r="M45" i="37"/>
  <c r="L45" i="37"/>
  <c r="K45" i="37"/>
  <c r="J45" i="37"/>
  <c r="I45" i="37"/>
  <c r="AH32" i="37"/>
  <c r="AG32" i="37"/>
  <c r="AF32" i="37"/>
  <c r="AE32" i="37"/>
  <c r="AD32" i="37"/>
  <c r="AC32" i="37"/>
  <c r="AB32" i="37"/>
  <c r="AA32" i="37"/>
  <c r="Z32" i="37"/>
  <c r="Y32" i="37"/>
  <c r="X32" i="37"/>
  <c r="W32" i="37"/>
  <c r="V32" i="37"/>
  <c r="U32" i="37"/>
  <c r="T32" i="37"/>
  <c r="S32" i="37"/>
  <c r="R32" i="37"/>
  <c r="Q32" i="37"/>
  <c r="P32" i="37"/>
  <c r="O32" i="37"/>
  <c r="N32" i="37"/>
  <c r="M32" i="37"/>
  <c r="L32" i="37"/>
  <c r="K32" i="37"/>
  <c r="J32" i="37"/>
  <c r="I32" i="37"/>
  <c r="F32" i="37"/>
  <c r="E32" i="37"/>
  <c r="G32" i="37" s="1"/>
  <c r="D15" i="37" s="1"/>
  <c r="C32" i="37"/>
  <c r="AM31" i="37"/>
  <c r="AL31" i="37"/>
  <c r="AK31" i="37"/>
  <c r="AJ31" i="37"/>
  <c r="G31" i="37"/>
  <c r="AL30" i="37"/>
  <c r="AM30" i="37" s="1"/>
  <c r="AK30" i="37"/>
  <c r="AJ30" i="37"/>
  <c r="G30" i="37"/>
  <c r="AM29" i="37"/>
  <c r="AL29" i="37"/>
  <c r="AK29" i="37"/>
  <c r="AJ29" i="37"/>
  <c r="G29" i="37"/>
  <c r="AL28" i="37"/>
  <c r="AM28" i="37" s="1"/>
  <c r="AK28" i="37"/>
  <c r="AJ28" i="37"/>
  <c r="G28" i="37"/>
  <c r="AM27" i="37"/>
  <c r="AL27" i="37"/>
  <c r="AK27" i="37"/>
  <c r="AJ27" i="37"/>
  <c r="G27" i="37"/>
  <c r="AL26" i="37"/>
  <c r="AM26" i="37" s="1"/>
  <c r="AK26" i="37"/>
  <c r="AJ26" i="37"/>
  <c r="G26" i="37"/>
  <c r="AM25" i="37"/>
  <c r="AL25" i="37"/>
  <c r="AK25" i="37"/>
  <c r="AJ25" i="37"/>
  <c r="G25" i="37"/>
  <c r="AL24" i="37"/>
  <c r="AM24" i="37" s="1"/>
  <c r="AK24" i="37"/>
  <c r="AJ24" i="37"/>
  <c r="G24" i="37"/>
  <c r="AM23" i="37"/>
  <c r="AL23" i="37"/>
  <c r="AK23" i="37"/>
  <c r="AJ23" i="37"/>
  <c r="G23" i="37"/>
  <c r="AL22" i="37"/>
  <c r="AM22" i="37" s="1"/>
  <c r="AK22" i="37"/>
  <c r="AJ22" i="37"/>
  <c r="G22" i="37"/>
  <c r="AM21" i="37"/>
  <c r="AL21" i="37"/>
  <c r="AK21" i="37"/>
  <c r="AJ21" i="37"/>
  <c r="G21" i="37"/>
  <c r="AL20" i="37"/>
  <c r="AM20" i="37" s="1"/>
  <c r="AK20" i="37"/>
  <c r="AJ20" i="37"/>
  <c r="G20" i="37"/>
  <c r="AM19" i="37"/>
  <c r="B34" i="37" s="1"/>
  <c r="AL19" i="37"/>
  <c r="AK19" i="37"/>
  <c r="AK32" i="37" s="1"/>
  <c r="AJ19" i="37"/>
  <c r="AJ32" i="37" s="1"/>
  <c r="G19" i="37"/>
  <c r="AH17" i="37"/>
  <c r="AG17" i="37"/>
  <c r="AF17" i="37"/>
  <c r="AE17" i="37"/>
  <c r="AD17" i="37"/>
  <c r="AC17" i="37"/>
  <c r="AB17" i="37"/>
  <c r="AA17" i="37"/>
  <c r="Z17" i="37"/>
  <c r="Y17" i="37"/>
  <c r="X17" i="37"/>
  <c r="W17" i="37"/>
  <c r="V17" i="37"/>
  <c r="U17" i="37"/>
  <c r="T17" i="37"/>
  <c r="S17" i="37"/>
  <c r="R17" i="37"/>
  <c r="Q17" i="37"/>
  <c r="P17" i="37"/>
  <c r="O17" i="37"/>
  <c r="N17" i="37"/>
  <c r="M17" i="37"/>
  <c r="L17" i="37"/>
  <c r="K17" i="37"/>
  <c r="J17" i="37"/>
  <c r="I17" i="37"/>
  <c r="F22" i="35"/>
  <c r="F4" i="34"/>
  <c r="C17" i="34" s="1"/>
  <c r="C4" i="34"/>
  <c r="F43" i="33"/>
  <c r="Q42" i="33"/>
  <c r="J42" i="33"/>
  <c r="G42" i="33"/>
  <c r="Q41" i="33"/>
  <c r="J41" i="33"/>
  <c r="G41" i="33"/>
  <c r="Q40" i="33"/>
  <c r="J40" i="33"/>
  <c r="G40" i="33"/>
  <c r="Q39" i="33"/>
  <c r="J39" i="33"/>
  <c r="G39" i="33"/>
  <c r="Q38" i="33"/>
  <c r="E44" i="33" s="1"/>
  <c r="J38" i="33"/>
  <c r="J43" i="33" s="1"/>
  <c r="G38" i="33"/>
  <c r="G43" i="33" s="1"/>
  <c r="G33" i="33"/>
  <c r="F33" i="33"/>
  <c r="Q32" i="33"/>
  <c r="K32" i="33"/>
  <c r="G32" i="33"/>
  <c r="J32" i="33" s="1"/>
  <c r="Q31" i="33"/>
  <c r="K31" i="33"/>
  <c r="G31" i="33"/>
  <c r="J31" i="33" s="1"/>
  <c r="Q30" i="33"/>
  <c r="K30" i="33"/>
  <c r="G30" i="33"/>
  <c r="J30" i="33" s="1"/>
  <c r="Q29" i="33"/>
  <c r="K29" i="33"/>
  <c r="G29" i="33"/>
  <c r="J29" i="33" s="1"/>
  <c r="Q28" i="33"/>
  <c r="K28" i="33"/>
  <c r="G28" i="33"/>
  <c r="J28" i="33" s="1"/>
  <c r="Q27" i="33"/>
  <c r="K27" i="33"/>
  <c r="G27" i="33"/>
  <c r="J27" i="33" s="1"/>
  <c r="Q26" i="33"/>
  <c r="E34" i="33" s="1"/>
  <c r="K26" i="33"/>
  <c r="G26" i="33"/>
  <c r="J26" i="33" s="1"/>
  <c r="F21" i="33"/>
  <c r="G20" i="33"/>
  <c r="J20" i="33" s="1"/>
  <c r="G19" i="33"/>
  <c r="J19" i="33" s="1"/>
  <c r="J18" i="33"/>
  <c r="G18" i="33"/>
  <c r="Q18" i="33" s="1"/>
  <c r="J17" i="33"/>
  <c r="G17" i="33"/>
  <c r="Q17" i="33" s="1"/>
  <c r="J16" i="33"/>
  <c r="G16" i="33"/>
  <c r="Q16" i="33" s="1"/>
  <c r="J15" i="33"/>
  <c r="G15" i="33"/>
  <c r="Q15" i="33" s="1"/>
  <c r="M14" i="33"/>
  <c r="J14" i="33"/>
  <c r="G14" i="33"/>
  <c r="Q14" i="33" s="1"/>
  <c r="M13" i="33"/>
  <c r="J13" i="33"/>
  <c r="G13" i="33"/>
  <c r="Q13" i="33" s="1"/>
  <c r="I9" i="33"/>
  <c r="C9" i="33"/>
  <c r="C8" i="33"/>
  <c r="C7" i="33"/>
  <c r="L42" i="33" s="1"/>
  <c r="M19" i="31"/>
  <c r="N19" i="31" s="1"/>
  <c r="L19" i="31"/>
  <c r="K19" i="31"/>
  <c r="M18" i="31"/>
  <c r="N18" i="31" s="1"/>
  <c r="L18" i="31"/>
  <c r="K18" i="31"/>
  <c r="M17" i="31"/>
  <c r="N17" i="31" s="1"/>
  <c r="L17" i="31"/>
  <c r="K17" i="31"/>
  <c r="M16" i="31"/>
  <c r="N16" i="31" s="1"/>
  <c r="L16" i="31"/>
  <c r="K16" i="31"/>
  <c r="M15" i="31"/>
  <c r="N15" i="31" s="1"/>
  <c r="L15" i="31"/>
  <c r="K15" i="31"/>
  <c r="M14" i="31"/>
  <c r="N14" i="31" s="1"/>
  <c r="L14" i="31"/>
  <c r="K14" i="31"/>
  <c r="N13" i="31"/>
  <c r="M13" i="31"/>
  <c r="L13" i="31"/>
  <c r="K13" i="31"/>
  <c r="N12" i="31"/>
  <c r="M12" i="31"/>
  <c r="L12" i="31"/>
  <c r="K12" i="31"/>
  <c r="N11" i="31"/>
  <c r="M11" i="31"/>
  <c r="L11" i="31"/>
  <c r="K11" i="31"/>
  <c r="N10" i="31"/>
  <c r="M10" i="31"/>
  <c r="L10" i="31"/>
  <c r="K10" i="31"/>
  <c r="N9" i="31"/>
  <c r="M9" i="31"/>
  <c r="L9" i="31"/>
  <c r="K9" i="31"/>
  <c r="F37" i="29"/>
  <c r="E37" i="29"/>
  <c r="I36" i="29"/>
  <c r="G36" i="29"/>
  <c r="E36" i="29"/>
  <c r="C36" i="29"/>
  <c r="I35" i="29"/>
  <c r="I37" i="29" s="1"/>
  <c r="H35" i="29"/>
  <c r="H36" i="29" s="1"/>
  <c r="G35" i="29"/>
  <c r="G37" i="29" s="1"/>
  <c r="F35" i="29"/>
  <c r="F36" i="29" s="1"/>
  <c r="E35" i="29"/>
  <c r="D35" i="29"/>
  <c r="D36" i="29" s="1"/>
  <c r="C35" i="29"/>
  <c r="C37" i="29" s="1"/>
  <c r="J34" i="29"/>
  <c r="J38" i="29" s="1"/>
  <c r="I34" i="29"/>
  <c r="I38" i="29" s="1"/>
  <c r="H34" i="29"/>
  <c r="H38" i="29" s="1"/>
  <c r="G34" i="29"/>
  <c r="G38" i="29" s="1"/>
  <c r="F34" i="29"/>
  <c r="F38" i="29" s="1"/>
  <c r="E34" i="29"/>
  <c r="E38" i="29" s="1"/>
  <c r="D34" i="29"/>
  <c r="D38" i="29" s="1"/>
  <c r="C34" i="29"/>
  <c r="C38" i="29" s="1"/>
  <c r="D20" i="29"/>
  <c r="C20" i="29"/>
  <c r="D19" i="29"/>
  <c r="C19" i="29"/>
  <c r="G18" i="29"/>
  <c r="E18" i="29"/>
  <c r="C18" i="29"/>
  <c r="I17" i="29"/>
  <c r="I18" i="29" s="1"/>
  <c r="H17" i="29"/>
  <c r="H18" i="29" s="1"/>
  <c r="G17" i="29"/>
  <c r="G19" i="29" s="1"/>
  <c r="F17" i="29"/>
  <c r="F18" i="29" s="1"/>
  <c r="E17" i="29"/>
  <c r="E19" i="29" s="1"/>
  <c r="D17" i="29"/>
  <c r="D18" i="29" s="1"/>
  <c r="C17" i="29"/>
  <c r="I16" i="29"/>
  <c r="I20" i="29" s="1"/>
  <c r="H16" i="29"/>
  <c r="H20" i="29" s="1"/>
  <c r="G16" i="29"/>
  <c r="G20" i="29" s="1"/>
  <c r="F16" i="29"/>
  <c r="F20" i="29" s="1"/>
  <c r="E16" i="29"/>
  <c r="E20" i="29" s="1"/>
  <c r="D16" i="29"/>
  <c r="C16" i="29"/>
  <c r="AV99" i="28"/>
  <c r="AT99" i="28"/>
  <c r="AR99" i="28"/>
  <c r="AP99" i="28"/>
  <c r="AN99" i="28"/>
  <c r="AJ99" i="28"/>
  <c r="AH99" i="28"/>
  <c r="AF99" i="28"/>
  <c r="AD99" i="28"/>
  <c r="AB99" i="28"/>
  <c r="Z99" i="28"/>
  <c r="X99" i="28"/>
  <c r="V99" i="28"/>
  <c r="T99" i="28"/>
  <c r="Q99" i="28"/>
  <c r="M99" i="28"/>
  <c r="L99" i="28"/>
  <c r="K99" i="28"/>
  <c r="J99" i="28"/>
  <c r="I99" i="28"/>
  <c r="H99" i="28"/>
  <c r="G99" i="28"/>
  <c r="F99" i="28"/>
  <c r="E99" i="28"/>
  <c r="D99" i="28"/>
  <c r="AV98" i="28"/>
  <c r="AT98" i="28"/>
  <c r="AR98" i="28"/>
  <c r="AP98" i="28"/>
  <c r="AN98" i="28"/>
  <c r="AJ98" i="28"/>
  <c r="AH98" i="28"/>
  <c r="AF98" i="28"/>
  <c r="AD98" i="28"/>
  <c r="AB98" i="28"/>
  <c r="Z98" i="28"/>
  <c r="X98" i="28"/>
  <c r="V98" i="28"/>
  <c r="T98" i="28"/>
  <c r="Q98" i="28"/>
  <c r="M98" i="28"/>
  <c r="L98" i="28"/>
  <c r="K98" i="28"/>
  <c r="J98" i="28"/>
  <c r="I98" i="28"/>
  <c r="H98" i="28"/>
  <c r="G98" i="28"/>
  <c r="F98" i="28"/>
  <c r="E98" i="28"/>
  <c r="D98" i="28"/>
  <c r="AV97" i="28"/>
  <c r="AT97" i="28"/>
  <c r="AR97" i="28"/>
  <c r="AP97" i="28"/>
  <c r="AN97" i="28"/>
  <c r="AJ97" i="28"/>
  <c r="AH97" i="28"/>
  <c r="AF97" i="28"/>
  <c r="AD97" i="28"/>
  <c r="AB97" i="28"/>
  <c r="Z97" i="28"/>
  <c r="X97" i="28"/>
  <c r="V97" i="28"/>
  <c r="T97" i="28"/>
  <c r="Q97" i="28"/>
  <c r="M97" i="28"/>
  <c r="L97" i="28"/>
  <c r="K97" i="28"/>
  <c r="J97" i="28"/>
  <c r="I97" i="28"/>
  <c r="H97" i="28"/>
  <c r="G97" i="28"/>
  <c r="F97" i="28"/>
  <c r="E97" i="28"/>
  <c r="D97" i="28"/>
  <c r="AV96" i="28"/>
  <c r="AT96" i="28"/>
  <c r="AR96" i="28"/>
  <c r="AP96" i="28"/>
  <c r="AN96" i="28"/>
  <c r="AJ96" i="28"/>
  <c r="AH96" i="28"/>
  <c r="AF96" i="28"/>
  <c r="AD96" i="28"/>
  <c r="AB96" i="28"/>
  <c r="Z96" i="28"/>
  <c r="X96" i="28"/>
  <c r="V96" i="28"/>
  <c r="T96" i="28"/>
  <c r="Q96" i="28"/>
  <c r="M96" i="28"/>
  <c r="L96" i="28"/>
  <c r="K96" i="28"/>
  <c r="J96" i="28"/>
  <c r="I96" i="28"/>
  <c r="H96" i="28"/>
  <c r="G96" i="28"/>
  <c r="F96" i="28"/>
  <c r="E96" i="28"/>
  <c r="D96" i="28"/>
  <c r="AV95" i="28"/>
  <c r="AT95" i="28"/>
  <c r="AR95" i="28"/>
  <c r="AP95" i="28"/>
  <c r="AN95" i="28"/>
  <c r="AJ95" i="28"/>
  <c r="AH95" i="28"/>
  <c r="AF95" i="28"/>
  <c r="AD95" i="28"/>
  <c r="AB95" i="28"/>
  <c r="Z95" i="28"/>
  <c r="X95" i="28"/>
  <c r="V95" i="28"/>
  <c r="T95" i="28"/>
  <c r="Q95" i="28"/>
  <c r="M95" i="28"/>
  <c r="L95" i="28"/>
  <c r="K95" i="28"/>
  <c r="J95" i="28"/>
  <c r="I95" i="28"/>
  <c r="H95" i="28"/>
  <c r="G95" i="28"/>
  <c r="F95" i="28"/>
  <c r="E95" i="28"/>
  <c r="D95" i="28"/>
  <c r="AV94" i="28"/>
  <c r="AT94" i="28"/>
  <c r="AR94" i="28"/>
  <c r="AP94" i="28"/>
  <c r="AN94" i="28"/>
  <c r="AJ94" i="28"/>
  <c r="AH94" i="28"/>
  <c r="AF94" i="28"/>
  <c r="AD94" i="28"/>
  <c r="AB94" i="28"/>
  <c r="Z94" i="28"/>
  <c r="X94" i="28"/>
  <c r="V94" i="28"/>
  <c r="T94" i="28"/>
  <c r="Q94" i="28"/>
  <c r="M94" i="28"/>
  <c r="L94" i="28"/>
  <c r="K94" i="28"/>
  <c r="J94" i="28"/>
  <c r="I94" i="28"/>
  <c r="H94" i="28"/>
  <c r="G94" i="28"/>
  <c r="F94" i="28"/>
  <c r="E94" i="28"/>
  <c r="D94" i="28"/>
  <c r="AV93" i="28"/>
  <c r="AT93" i="28"/>
  <c r="AR93" i="28"/>
  <c r="AP93" i="28"/>
  <c r="AN93" i="28"/>
  <c r="AJ93" i="28"/>
  <c r="AH93" i="28"/>
  <c r="AF93" i="28"/>
  <c r="AD93" i="28"/>
  <c r="AB93" i="28"/>
  <c r="Z93" i="28"/>
  <c r="X93" i="28"/>
  <c r="V93" i="28"/>
  <c r="T93" i="28"/>
  <c r="Q93" i="28"/>
  <c r="M93" i="28"/>
  <c r="L93" i="28"/>
  <c r="K93" i="28"/>
  <c r="J93" i="28"/>
  <c r="I93" i="28"/>
  <c r="H93" i="28"/>
  <c r="G93" i="28"/>
  <c r="F93" i="28"/>
  <c r="E93" i="28"/>
  <c r="D93" i="28"/>
  <c r="AV92" i="28"/>
  <c r="AT92" i="28"/>
  <c r="AR92" i="28"/>
  <c r="AP92" i="28"/>
  <c r="AN92" i="28"/>
  <c r="AJ92" i="28"/>
  <c r="AH92" i="28"/>
  <c r="AF92" i="28"/>
  <c r="AD92" i="28"/>
  <c r="AB92" i="28"/>
  <c r="Z92" i="28"/>
  <c r="X92" i="28"/>
  <c r="V92" i="28"/>
  <c r="T92" i="28"/>
  <c r="Q92" i="28"/>
  <c r="M92" i="28"/>
  <c r="L92" i="28"/>
  <c r="K92" i="28"/>
  <c r="J92" i="28"/>
  <c r="I92" i="28"/>
  <c r="H92" i="28"/>
  <c r="G92" i="28"/>
  <c r="F92" i="28"/>
  <c r="E92" i="28"/>
  <c r="D92" i="28"/>
  <c r="AV91" i="28"/>
  <c r="AT91" i="28"/>
  <c r="AR91" i="28"/>
  <c r="AP91" i="28"/>
  <c r="AN91" i="28"/>
  <c r="AJ91" i="28"/>
  <c r="AH91" i="28"/>
  <c r="AF91" i="28"/>
  <c r="AD91" i="28"/>
  <c r="AB91" i="28"/>
  <c r="Z91" i="28"/>
  <c r="X91" i="28"/>
  <c r="V91" i="28"/>
  <c r="T91" i="28"/>
  <c r="Q91" i="28"/>
  <c r="M91" i="28"/>
  <c r="L91" i="28"/>
  <c r="K91" i="28"/>
  <c r="J91" i="28"/>
  <c r="I91" i="28"/>
  <c r="H91" i="28"/>
  <c r="G91" i="28"/>
  <c r="F91" i="28"/>
  <c r="E91" i="28"/>
  <c r="D91" i="28"/>
  <c r="AV90" i="28"/>
  <c r="AT90" i="28"/>
  <c r="AR90" i="28"/>
  <c r="AP90" i="28"/>
  <c r="AN90" i="28"/>
  <c r="AJ90" i="28"/>
  <c r="AH90" i="28"/>
  <c r="AF90" i="28"/>
  <c r="AD90" i="28"/>
  <c r="AB90" i="28"/>
  <c r="Z90" i="28"/>
  <c r="X90" i="28"/>
  <c r="V90" i="28"/>
  <c r="T90" i="28"/>
  <c r="Q90" i="28"/>
  <c r="M90" i="28"/>
  <c r="L90" i="28"/>
  <c r="K90" i="28"/>
  <c r="J90" i="28"/>
  <c r="I90" i="28"/>
  <c r="H90" i="28"/>
  <c r="G90" i="28"/>
  <c r="F90" i="28"/>
  <c r="E90" i="28"/>
  <c r="D90" i="28"/>
  <c r="AV89" i="28"/>
  <c r="AT89" i="28"/>
  <c r="AR89" i="28"/>
  <c r="AP89" i="28"/>
  <c r="AN89" i="28"/>
  <c r="AJ89" i="28"/>
  <c r="AH89" i="28"/>
  <c r="AF89" i="28"/>
  <c r="AD89" i="28"/>
  <c r="AB89" i="28"/>
  <c r="Z89" i="28"/>
  <c r="X89" i="28"/>
  <c r="V89" i="28"/>
  <c r="T89" i="28"/>
  <c r="Q89" i="28"/>
  <c r="M89" i="28"/>
  <c r="L89" i="28"/>
  <c r="K89" i="28"/>
  <c r="J89" i="28"/>
  <c r="I89" i="28"/>
  <c r="H89" i="28"/>
  <c r="G89" i="28"/>
  <c r="F89" i="28"/>
  <c r="E89" i="28"/>
  <c r="D89" i="28"/>
  <c r="AV88" i="28"/>
  <c r="AT88" i="28"/>
  <c r="AR88" i="28"/>
  <c r="AP88" i="28"/>
  <c r="AN88" i="28"/>
  <c r="AJ88" i="28"/>
  <c r="AH88" i="28"/>
  <c r="AF88" i="28"/>
  <c r="AD88" i="28"/>
  <c r="AB88" i="28"/>
  <c r="Z88" i="28"/>
  <c r="X88" i="28"/>
  <c r="V88" i="28"/>
  <c r="T88" i="28"/>
  <c r="Q88" i="28"/>
  <c r="M88" i="28"/>
  <c r="L88" i="28"/>
  <c r="K88" i="28"/>
  <c r="J88" i="28"/>
  <c r="I88" i="28"/>
  <c r="H88" i="28"/>
  <c r="G88" i="28"/>
  <c r="F88" i="28"/>
  <c r="E88" i="28"/>
  <c r="D88" i="28"/>
  <c r="AV87" i="28"/>
  <c r="AT87" i="28"/>
  <c r="AR87" i="28"/>
  <c r="AP87" i="28"/>
  <c r="AN87" i="28"/>
  <c r="AJ87" i="28"/>
  <c r="AH87" i="28"/>
  <c r="AF87" i="28"/>
  <c r="AD87" i="28"/>
  <c r="AB87" i="28"/>
  <c r="Z87" i="28"/>
  <c r="X87" i="28"/>
  <c r="V87" i="28"/>
  <c r="T87" i="28"/>
  <c r="Q87" i="28"/>
  <c r="M87" i="28"/>
  <c r="L87" i="28"/>
  <c r="K87" i="28"/>
  <c r="J87" i="28"/>
  <c r="I87" i="28"/>
  <c r="H87" i="28"/>
  <c r="G87" i="28"/>
  <c r="F87" i="28"/>
  <c r="E87" i="28"/>
  <c r="D87" i="28"/>
  <c r="AV86" i="28"/>
  <c r="AT86" i="28"/>
  <c r="AR86" i="28"/>
  <c r="AP86" i="28"/>
  <c r="AN86" i="28"/>
  <c r="AJ86" i="28"/>
  <c r="AH86" i="28"/>
  <c r="AF86" i="28"/>
  <c r="AD86" i="28"/>
  <c r="AB86" i="28"/>
  <c r="Z86" i="28"/>
  <c r="X86" i="28"/>
  <c r="V86" i="28"/>
  <c r="T86" i="28"/>
  <c r="Q86" i="28"/>
  <c r="M86" i="28"/>
  <c r="L86" i="28"/>
  <c r="K86" i="28"/>
  <c r="J86" i="28"/>
  <c r="I86" i="28"/>
  <c r="H86" i="28"/>
  <c r="G86" i="28"/>
  <c r="F86" i="28"/>
  <c r="E86" i="28"/>
  <c r="D86" i="28"/>
  <c r="AV85" i="28"/>
  <c r="AT85" i="28"/>
  <c r="AR85" i="28"/>
  <c r="AP85" i="28"/>
  <c r="AN85" i="28"/>
  <c r="AJ85" i="28"/>
  <c r="AH85" i="28"/>
  <c r="AF85" i="28"/>
  <c r="AD85" i="28"/>
  <c r="AB85" i="28"/>
  <c r="Z85" i="28"/>
  <c r="X85" i="28"/>
  <c r="V85" i="28"/>
  <c r="T85" i="28"/>
  <c r="Q85" i="28"/>
  <c r="M85" i="28"/>
  <c r="L85" i="28"/>
  <c r="K85" i="28"/>
  <c r="J85" i="28"/>
  <c r="I85" i="28"/>
  <c r="H85" i="28"/>
  <c r="G85" i="28"/>
  <c r="F85" i="28"/>
  <c r="E85" i="28"/>
  <c r="D85" i="28"/>
  <c r="AV84" i="28"/>
  <c r="AT84" i="28"/>
  <c r="AR84" i="28"/>
  <c r="AP84" i="28"/>
  <c r="AN84" i="28"/>
  <c r="AJ84" i="28"/>
  <c r="AH84" i="28"/>
  <c r="AF84" i="28"/>
  <c r="AD84" i="28"/>
  <c r="AB84" i="28"/>
  <c r="Z84" i="28"/>
  <c r="X84" i="28"/>
  <c r="V84" i="28"/>
  <c r="T84" i="28"/>
  <c r="Q84" i="28"/>
  <c r="M84" i="28"/>
  <c r="L84" i="28"/>
  <c r="K84" i="28"/>
  <c r="J84" i="28"/>
  <c r="I84" i="28"/>
  <c r="H84" i="28"/>
  <c r="G84" i="28"/>
  <c r="F84" i="28"/>
  <c r="E84" i="28"/>
  <c r="D84" i="28"/>
  <c r="AV83" i="28"/>
  <c r="AT83" i="28"/>
  <c r="AR83" i="28"/>
  <c r="AP83" i="28"/>
  <c r="AN83" i="28"/>
  <c r="AJ83" i="28"/>
  <c r="AH83" i="28"/>
  <c r="AF83" i="28"/>
  <c r="AD83" i="28"/>
  <c r="AB83" i="28"/>
  <c r="Z83" i="28"/>
  <c r="X83" i="28"/>
  <c r="V83" i="28"/>
  <c r="T83" i="28"/>
  <c r="Q83" i="28"/>
  <c r="M83" i="28"/>
  <c r="L83" i="28"/>
  <c r="K83" i="28"/>
  <c r="J83" i="28"/>
  <c r="I83" i="28"/>
  <c r="H83" i="28"/>
  <c r="G83" i="28"/>
  <c r="F83" i="28"/>
  <c r="E83" i="28"/>
  <c r="D83" i="28"/>
  <c r="AV82" i="28"/>
  <c r="AT82" i="28"/>
  <c r="AR82" i="28"/>
  <c r="AP82" i="28"/>
  <c r="AN82" i="28"/>
  <c r="AJ82" i="28"/>
  <c r="AH82" i="28"/>
  <c r="AF82" i="28"/>
  <c r="AD82" i="28"/>
  <c r="AB82" i="28"/>
  <c r="Z82" i="28"/>
  <c r="X82" i="28"/>
  <c r="V82" i="28"/>
  <c r="T82" i="28"/>
  <c r="Q82" i="28"/>
  <c r="M82" i="28"/>
  <c r="L82" i="28"/>
  <c r="K82" i="28"/>
  <c r="J82" i="28"/>
  <c r="I82" i="28"/>
  <c r="H82" i="28"/>
  <c r="G82" i="28"/>
  <c r="F82" i="28"/>
  <c r="E82" i="28"/>
  <c r="D82" i="28"/>
  <c r="AV81" i="28"/>
  <c r="AT81" i="28"/>
  <c r="AR81" i="28"/>
  <c r="AP81" i="28"/>
  <c r="AN81" i="28"/>
  <c r="AJ81" i="28"/>
  <c r="AH81" i="28"/>
  <c r="AF81" i="28"/>
  <c r="AD81" i="28"/>
  <c r="AB81" i="28"/>
  <c r="Z81" i="28"/>
  <c r="X81" i="28"/>
  <c r="V81" i="28"/>
  <c r="T81" i="28"/>
  <c r="Q81" i="28"/>
  <c r="M81" i="28"/>
  <c r="L81" i="28"/>
  <c r="K81" i="28"/>
  <c r="J81" i="28"/>
  <c r="I81" i="28"/>
  <c r="H81" i="28"/>
  <c r="G81" i="28"/>
  <c r="F81" i="28"/>
  <c r="E81" i="28"/>
  <c r="D81" i="28"/>
  <c r="AV80" i="28"/>
  <c r="AT80" i="28"/>
  <c r="AR80" i="28"/>
  <c r="AP80" i="28"/>
  <c r="AN80" i="28"/>
  <c r="AJ80" i="28"/>
  <c r="AH80" i="28"/>
  <c r="AF80" i="28"/>
  <c r="AD80" i="28"/>
  <c r="AB80" i="28"/>
  <c r="Z80" i="28"/>
  <c r="X80" i="28"/>
  <c r="V80" i="28"/>
  <c r="T80" i="28"/>
  <c r="Q80" i="28"/>
  <c r="M80" i="28"/>
  <c r="L80" i="28"/>
  <c r="K80" i="28"/>
  <c r="J80" i="28"/>
  <c r="I80" i="28"/>
  <c r="H80" i="28"/>
  <c r="G80" i="28"/>
  <c r="F80" i="28"/>
  <c r="E80" i="28"/>
  <c r="D80" i="28"/>
  <c r="AV79" i="28"/>
  <c r="AT79" i="28"/>
  <c r="AR79" i="28"/>
  <c r="AP79" i="28"/>
  <c r="AN79" i="28"/>
  <c r="AJ79" i="28"/>
  <c r="AH79" i="28"/>
  <c r="AF79" i="28"/>
  <c r="AD79" i="28"/>
  <c r="AB79" i="28"/>
  <c r="Z79" i="28"/>
  <c r="X79" i="28"/>
  <c r="V79" i="28"/>
  <c r="T79" i="28"/>
  <c r="Q79" i="28"/>
  <c r="M79" i="28"/>
  <c r="L79" i="28"/>
  <c r="K79" i="28"/>
  <c r="J79" i="28"/>
  <c r="I79" i="28"/>
  <c r="H79" i="28"/>
  <c r="G79" i="28"/>
  <c r="F79" i="28"/>
  <c r="E79" i="28"/>
  <c r="D79" i="28"/>
  <c r="AV78" i="28"/>
  <c r="AT78" i="28"/>
  <c r="AR78" i="28"/>
  <c r="AP78" i="28"/>
  <c r="AN78" i="28"/>
  <c r="AJ78" i="28"/>
  <c r="AH78" i="28"/>
  <c r="AF78" i="28"/>
  <c r="AD78" i="28"/>
  <c r="AB78" i="28"/>
  <c r="Z78" i="28"/>
  <c r="X78" i="28"/>
  <c r="V78" i="28"/>
  <c r="T78" i="28"/>
  <c r="Q78" i="28"/>
  <c r="M78" i="28"/>
  <c r="L78" i="28"/>
  <c r="K78" i="28"/>
  <c r="J78" i="28"/>
  <c r="I78" i="28"/>
  <c r="H78" i="28"/>
  <c r="G78" i="28"/>
  <c r="F78" i="28"/>
  <c r="E78" i="28"/>
  <c r="D78" i="28"/>
  <c r="AV77" i="28"/>
  <c r="AT77" i="28"/>
  <c r="AR77" i="28"/>
  <c r="AP77" i="28"/>
  <c r="AN77" i="28"/>
  <c r="AJ77" i="28"/>
  <c r="AH77" i="28"/>
  <c r="AF77" i="28"/>
  <c r="AD77" i="28"/>
  <c r="AB77" i="28"/>
  <c r="Z77" i="28"/>
  <c r="X77" i="28"/>
  <c r="V77" i="28"/>
  <c r="T77" i="28"/>
  <c r="Q77" i="28"/>
  <c r="M77" i="28"/>
  <c r="L77" i="28"/>
  <c r="K77" i="28"/>
  <c r="J77" i="28"/>
  <c r="I77" i="28"/>
  <c r="H77" i="28"/>
  <c r="G77" i="28"/>
  <c r="F77" i="28"/>
  <c r="E77" i="28"/>
  <c r="D77" i="28"/>
  <c r="AV76" i="28"/>
  <c r="AT76" i="28"/>
  <c r="AR76" i="28"/>
  <c r="AP76" i="28"/>
  <c r="AN76" i="28"/>
  <c r="AJ76" i="28"/>
  <c r="AH76" i="28"/>
  <c r="AF76" i="28"/>
  <c r="AD76" i="28"/>
  <c r="AB76" i="28"/>
  <c r="Z76" i="28"/>
  <c r="X76" i="28"/>
  <c r="V76" i="28"/>
  <c r="T76" i="28"/>
  <c r="Q76" i="28"/>
  <c r="M76" i="28"/>
  <c r="L76" i="28"/>
  <c r="K76" i="28"/>
  <c r="J76" i="28"/>
  <c r="I76" i="28"/>
  <c r="H76" i="28"/>
  <c r="G76" i="28"/>
  <c r="F76" i="28"/>
  <c r="E76" i="28"/>
  <c r="D76" i="28"/>
  <c r="AV75" i="28"/>
  <c r="AT75" i="28"/>
  <c r="AR75" i="28"/>
  <c r="AP75" i="28"/>
  <c r="AN75" i="28"/>
  <c r="AJ75" i="28"/>
  <c r="AH75" i="28"/>
  <c r="AF75" i="28"/>
  <c r="AD75" i="28"/>
  <c r="AB75" i="28"/>
  <c r="Z75" i="28"/>
  <c r="X75" i="28"/>
  <c r="V75" i="28"/>
  <c r="T75" i="28"/>
  <c r="Q75" i="28"/>
  <c r="M75" i="28"/>
  <c r="L75" i="28"/>
  <c r="K75" i="28"/>
  <c r="J75" i="28"/>
  <c r="I75" i="28"/>
  <c r="H75" i="28"/>
  <c r="G75" i="28"/>
  <c r="F75" i="28"/>
  <c r="E75" i="28"/>
  <c r="D75" i="28"/>
  <c r="AV74" i="28"/>
  <c r="AT74" i="28"/>
  <c r="AR74" i="28"/>
  <c r="AP74" i="28"/>
  <c r="AN74" i="28"/>
  <c r="AJ74" i="28"/>
  <c r="AH74" i="28"/>
  <c r="AF74" i="28"/>
  <c r="AD74" i="28"/>
  <c r="AB74" i="28"/>
  <c r="Z74" i="28"/>
  <c r="X74" i="28"/>
  <c r="V74" i="28"/>
  <c r="T74" i="28"/>
  <c r="Q74" i="28"/>
  <c r="M74" i="28"/>
  <c r="L74" i="28"/>
  <c r="K74" i="28"/>
  <c r="J74" i="28"/>
  <c r="I74" i="28"/>
  <c r="H74" i="28"/>
  <c r="G74" i="28"/>
  <c r="F74" i="28"/>
  <c r="E74" i="28"/>
  <c r="D74" i="28"/>
  <c r="AV73" i="28"/>
  <c r="AT73" i="28"/>
  <c r="AR73" i="28"/>
  <c r="AP73" i="28"/>
  <c r="AN73" i="28"/>
  <c r="AJ73" i="28"/>
  <c r="AH73" i="28"/>
  <c r="AF73" i="28"/>
  <c r="AD73" i="28"/>
  <c r="AB73" i="28"/>
  <c r="Z73" i="28"/>
  <c r="X73" i="28"/>
  <c r="V73" i="28"/>
  <c r="T73" i="28"/>
  <c r="Q73" i="28"/>
  <c r="M73" i="28"/>
  <c r="L73" i="28"/>
  <c r="K73" i="28"/>
  <c r="J73" i="28"/>
  <c r="I73" i="28"/>
  <c r="H73" i="28"/>
  <c r="G73" i="28"/>
  <c r="F73" i="28"/>
  <c r="E73" i="28"/>
  <c r="D73" i="28"/>
  <c r="AV72" i="28"/>
  <c r="AT72" i="28"/>
  <c r="AR72" i="28"/>
  <c r="AP72" i="28"/>
  <c r="AN72" i="28"/>
  <c r="AJ72" i="28"/>
  <c r="AH72" i="28"/>
  <c r="AF72" i="28"/>
  <c r="AD72" i="28"/>
  <c r="AB72" i="28"/>
  <c r="Z72" i="28"/>
  <c r="X72" i="28"/>
  <c r="V72" i="28"/>
  <c r="T72" i="28"/>
  <c r="Q72" i="28"/>
  <c r="M72" i="28"/>
  <c r="L72" i="28"/>
  <c r="K72" i="28"/>
  <c r="J72" i="28"/>
  <c r="I72" i="28"/>
  <c r="H72" i="28"/>
  <c r="G72" i="28"/>
  <c r="F72" i="28"/>
  <c r="E72" i="28"/>
  <c r="D72" i="28"/>
  <c r="AV71" i="28"/>
  <c r="AT71" i="28"/>
  <c r="AR71" i="28"/>
  <c r="AP71" i="28"/>
  <c r="AN71" i="28"/>
  <c r="AJ71" i="28"/>
  <c r="AH71" i="28"/>
  <c r="AF71" i="28"/>
  <c r="AD71" i="28"/>
  <c r="AB71" i="28"/>
  <c r="Z71" i="28"/>
  <c r="X71" i="28"/>
  <c r="V71" i="28"/>
  <c r="T71" i="28"/>
  <c r="Q71" i="28"/>
  <c r="M71" i="28"/>
  <c r="L71" i="28"/>
  <c r="K71" i="28"/>
  <c r="J71" i="28"/>
  <c r="I71" i="28"/>
  <c r="H71" i="28"/>
  <c r="G71" i="28"/>
  <c r="F71" i="28"/>
  <c r="E71" i="28"/>
  <c r="D71" i="28"/>
  <c r="AV70" i="28"/>
  <c r="AT70" i="28"/>
  <c r="AR70" i="28"/>
  <c r="AP70" i="28"/>
  <c r="AN70" i="28"/>
  <c r="AJ70" i="28"/>
  <c r="AH70" i="28"/>
  <c r="AF70" i="28"/>
  <c r="AD70" i="28"/>
  <c r="AB70" i="28"/>
  <c r="Z70" i="28"/>
  <c r="X70" i="28"/>
  <c r="V70" i="28"/>
  <c r="T70" i="28"/>
  <c r="Q70" i="28"/>
  <c r="M70" i="28"/>
  <c r="L70" i="28"/>
  <c r="K70" i="28"/>
  <c r="J70" i="28"/>
  <c r="I70" i="28"/>
  <c r="H70" i="28"/>
  <c r="G70" i="28"/>
  <c r="F70" i="28"/>
  <c r="E70" i="28"/>
  <c r="D70" i="28"/>
  <c r="AV69" i="28"/>
  <c r="AT69" i="28"/>
  <c r="AR69" i="28"/>
  <c r="AP69" i="28"/>
  <c r="AN69" i="28"/>
  <c r="AJ69" i="28"/>
  <c r="AH69" i="28"/>
  <c r="AF69" i="28"/>
  <c r="AD69" i="28"/>
  <c r="AB69" i="28"/>
  <c r="Z69" i="28"/>
  <c r="X69" i="28"/>
  <c r="V69" i="28"/>
  <c r="T69" i="28"/>
  <c r="Q69" i="28"/>
  <c r="M69" i="28"/>
  <c r="L69" i="28"/>
  <c r="K69" i="28"/>
  <c r="J69" i="28"/>
  <c r="I69" i="28"/>
  <c r="H69" i="28"/>
  <c r="G69" i="28"/>
  <c r="F69" i="28"/>
  <c r="E69" i="28"/>
  <c r="D69" i="28"/>
  <c r="AV68" i="28"/>
  <c r="AT68" i="28"/>
  <c r="AR68" i="28"/>
  <c r="AP68" i="28"/>
  <c r="AN68" i="28"/>
  <c r="AJ68" i="28"/>
  <c r="AH68" i="28"/>
  <c r="AF68" i="28"/>
  <c r="AD68" i="28"/>
  <c r="AB68" i="28"/>
  <c r="Z68" i="28"/>
  <c r="X68" i="28"/>
  <c r="V68" i="28"/>
  <c r="T68" i="28"/>
  <c r="Q68" i="28"/>
  <c r="M68" i="28"/>
  <c r="L68" i="28"/>
  <c r="K68" i="28"/>
  <c r="J68" i="28"/>
  <c r="I68" i="28"/>
  <c r="H68" i="28"/>
  <c r="G68" i="28"/>
  <c r="F68" i="28"/>
  <c r="E68" i="28"/>
  <c r="D68" i="28"/>
  <c r="AV67" i="28"/>
  <c r="AT67" i="28"/>
  <c r="AR67" i="28"/>
  <c r="AP67" i="28"/>
  <c r="AN67" i="28"/>
  <c r="AJ67" i="28"/>
  <c r="AH67" i="28"/>
  <c r="AF67" i="28"/>
  <c r="AD67" i="28"/>
  <c r="AB67" i="28"/>
  <c r="Z67" i="28"/>
  <c r="X67" i="28"/>
  <c r="V67" i="28"/>
  <c r="T67" i="28"/>
  <c r="Q67" i="28"/>
  <c r="M67" i="28"/>
  <c r="L67" i="28"/>
  <c r="K67" i="28"/>
  <c r="J67" i="28"/>
  <c r="I67" i="28"/>
  <c r="H67" i="28"/>
  <c r="G67" i="28"/>
  <c r="F67" i="28"/>
  <c r="E67" i="28"/>
  <c r="D67" i="28"/>
  <c r="AV66" i="28"/>
  <c r="AT66" i="28"/>
  <c r="AR66" i="28"/>
  <c r="AP66" i="28"/>
  <c r="AN66" i="28"/>
  <c r="AJ66" i="28"/>
  <c r="AH66" i="28"/>
  <c r="AF66" i="28"/>
  <c r="AD66" i="28"/>
  <c r="AB66" i="28"/>
  <c r="Z66" i="28"/>
  <c r="X66" i="28"/>
  <c r="V66" i="28"/>
  <c r="T66" i="28"/>
  <c r="Q66" i="28"/>
  <c r="M66" i="28"/>
  <c r="L66" i="28"/>
  <c r="K66" i="28"/>
  <c r="J66" i="28"/>
  <c r="I66" i="28"/>
  <c r="H66" i="28"/>
  <c r="G66" i="28"/>
  <c r="F66" i="28"/>
  <c r="E66" i="28"/>
  <c r="D66" i="28"/>
  <c r="AV65" i="28"/>
  <c r="AT65" i="28"/>
  <c r="AR65" i="28"/>
  <c r="AP65" i="28"/>
  <c r="AN65" i="28"/>
  <c r="AJ65" i="28"/>
  <c r="AH65" i="28"/>
  <c r="AF65" i="28"/>
  <c r="AD65" i="28"/>
  <c r="AB65" i="28"/>
  <c r="Z65" i="28"/>
  <c r="X65" i="28"/>
  <c r="V65" i="28"/>
  <c r="T65" i="28"/>
  <c r="Q65" i="28"/>
  <c r="M65" i="28"/>
  <c r="L65" i="28"/>
  <c r="K65" i="28"/>
  <c r="J65" i="28"/>
  <c r="I65" i="28"/>
  <c r="H65" i="28"/>
  <c r="G65" i="28"/>
  <c r="F65" i="28"/>
  <c r="E65" i="28"/>
  <c r="D65" i="28"/>
  <c r="AV64" i="28"/>
  <c r="AT64" i="28"/>
  <c r="AR64" i="28"/>
  <c r="AP64" i="28"/>
  <c r="AN64" i="28"/>
  <c r="AJ64" i="28"/>
  <c r="AH64" i="28"/>
  <c r="AF64" i="28"/>
  <c r="AD64" i="28"/>
  <c r="AB64" i="28"/>
  <c r="Z64" i="28"/>
  <c r="X64" i="28"/>
  <c r="V64" i="28"/>
  <c r="T64" i="28"/>
  <c r="Q64" i="28"/>
  <c r="M64" i="28"/>
  <c r="L64" i="28"/>
  <c r="K64" i="28"/>
  <c r="J64" i="28"/>
  <c r="I64" i="28"/>
  <c r="H64" i="28"/>
  <c r="G64" i="28"/>
  <c r="F64" i="28"/>
  <c r="E64" i="28"/>
  <c r="D64" i="28"/>
  <c r="AV63" i="28"/>
  <c r="AT63" i="28"/>
  <c r="AR63" i="28"/>
  <c r="AP63" i="28"/>
  <c r="AN63" i="28"/>
  <c r="AJ63" i="28"/>
  <c r="AH63" i="28"/>
  <c r="AF63" i="28"/>
  <c r="AD63" i="28"/>
  <c r="AB63" i="28"/>
  <c r="Z63" i="28"/>
  <c r="X63" i="28"/>
  <c r="V63" i="28"/>
  <c r="T63" i="28"/>
  <c r="Q63" i="28"/>
  <c r="M63" i="28"/>
  <c r="L63" i="28"/>
  <c r="K63" i="28"/>
  <c r="J63" i="28"/>
  <c r="I63" i="28"/>
  <c r="H63" i="28"/>
  <c r="G63" i="28"/>
  <c r="F63" i="28"/>
  <c r="E63" i="28"/>
  <c r="D63" i="28"/>
  <c r="AV62" i="28"/>
  <c r="AT62" i="28"/>
  <c r="AR62" i="28"/>
  <c r="AP62" i="28"/>
  <c r="AN62" i="28"/>
  <c r="AJ62" i="28"/>
  <c r="AH62" i="28"/>
  <c r="AF62" i="28"/>
  <c r="AD62" i="28"/>
  <c r="AB62" i="28"/>
  <c r="Z62" i="28"/>
  <c r="X62" i="28"/>
  <c r="V62" i="28"/>
  <c r="T62" i="28"/>
  <c r="Q62" i="28"/>
  <c r="M62" i="28"/>
  <c r="L62" i="28"/>
  <c r="K62" i="28"/>
  <c r="J62" i="28"/>
  <c r="I62" i="28"/>
  <c r="H62" i="28"/>
  <c r="G62" i="28"/>
  <c r="F62" i="28"/>
  <c r="E62" i="28"/>
  <c r="D62" i="28"/>
  <c r="AV61" i="28"/>
  <c r="AT61" i="28"/>
  <c r="AR61" i="28"/>
  <c r="AP61" i="28"/>
  <c r="AN61" i="28"/>
  <c r="AJ61" i="28"/>
  <c r="AH61" i="28"/>
  <c r="AF61" i="28"/>
  <c r="AD61" i="28"/>
  <c r="AB61" i="28"/>
  <c r="Z61" i="28"/>
  <c r="X61" i="28"/>
  <c r="V61" i="28"/>
  <c r="T61" i="28"/>
  <c r="Q61" i="28"/>
  <c r="M61" i="28"/>
  <c r="L61" i="28"/>
  <c r="K61" i="28"/>
  <c r="J61" i="28"/>
  <c r="I61" i="28"/>
  <c r="H61" i="28"/>
  <c r="G61" i="28"/>
  <c r="F61" i="28"/>
  <c r="E61" i="28"/>
  <c r="D61" i="28"/>
  <c r="AV60" i="28"/>
  <c r="AT60" i="28"/>
  <c r="AR60" i="28"/>
  <c r="AP60" i="28"/>
  <c r="AN60" i="28"/>
  <c r="AJ60" i="28"/>
  <c r="AH60" i="28"/>
  <c r="AF60" i="28"/>
  <c r="AD60" i="28"/>
  <c r="AB60" i="28"/>
  <c r="Z60" i="28"/>
  <c r="X60" i="28"/>
  <c r="V60" i="28"/>
  <c r="T60" i="28"/>
  <c r="Q60" i="28"/>
  <c r="M60" i="28"/>
  <c r="L60" i="28"/>
  <c r="K60" i="28"/>
  <c r="J60" i="28"/>
  <c r="I60" i="28"/>
  <c r="H60" i="28"/>
  <c r="G60" i="28"/>
  <c r="F60" i="28"/>
  <c r="E60" i="28"/>
  <c r="D60" i="28"/>
  <c r="AV59" i="28"/>
  <c r="AT59" i="28"/>
  <c r="AR59" i="28"/>
  <c r="AP59" i="28"/>
  <c r="AN59" i="28"/>
  <c r="AJ59" i="28"/>
  <c r="AH59" i="28"/>
  <c r="AF59" i="28"/>
  <c r="AD59" i="28"/>
  <c r="AB59" i="28"/>
  <c r="Z59" i="28"/>
  <c r="X59" i="28"/>
  <c r="V59" i="28"/>
  <c r="T59" i="28"/>
  <c r="Q59" i="28"/>
  <c r="M59" i="28"/>
  <c r="L59" i="28"/>
  <c r="K59" i="28"/>
  <c r="J59" i="28"/>
  <c r="I59" i="28"/>
  <c r="H59" i="28"/>
  <c r="G59" i="28"/>
  <c r="F59" i="28"/>
  <c r="E59" i="28"/>
  <c r="D59" i="28"/>
  <c r="AV58" i="28"/>
  <c r="AT58" i="28"/>
  <c r="AR58" i="28"/>
  <c r="AP58" i="28"/>
  <c r="AN58" i="28"/>
  <c r="AJ58" i="28"/>
  <c r="AH58" i="28"/>
  <c r="AF58" i="28"/>
  <c r="AD58" i="28"/>
  <c r="AB58" i="28"/>
  <c r="Z58" i="28"/>
  <c r="X58" i="28"/>
  <c r="V58" i="28"/>
  <c r="T58" i="28"/>
  <c r="Q58" i="28"/>
  <c r="M58" i="28"/>
  <c r="L58" i="28"/>
  <c r="K58" i="28"/>
  <c r="J58" i="28"/>
  <c r="I58" i="28"/>
  <c r="H58" i="28"/>
  <c r="G58" i="28"/>
  <c r="F58" i="28"/>
  <c r="E58" i="28"/>
  <c r="D58" i="28"/>
  <c r="AV57" i="28"/>
  <c r="AT57" i="28"/>
  <c r="AR57" i="28"/>
  <c r="AP57" i="28"/>
  <c r="AN57" i="28"/>
  <c r="AJ57" i="28"/>
  <c r="AH57" i="28"/>
  <c r="AF57" i="28"/>
  <c r="AD57" i="28"/>
  <c r="AB57" i="28"/>
  <c r="Z57" i="28"/>
  <c r="X57" i="28"/>
  <c r="V57" i="28"/>
  <c r="T57" i="28"/>
  <c r="Q57" i="28"/>
  <c r="M57" i="28"/>
  <c r="L57" i="28"/>
  <c r="K57" i="28"/>
  <c r="J57" i="28"/>
  <c r="I57" i="28"/>
  <c r="H57" i="28"/>
  <c r="G57" i="28"/>
  <c r="F57" i="28"/>
  <c r="E57" i="28"/>
  <c r="D57" i="28"/>
  <c r="AV56" i="28"/>
  <c r="AT56" i="28"/>
  <c r="AR56" i="28"/>
  <c r="AP56" i="28"/>
  <c r="AN56" i="28"/>
  <c r="AJ56" i="28"/>
  <c r="AH56" i="28"/>
  <c r="AF56" i="28"/>
  <c r="AD56" i="28"/>
  <c r="AB56" i="28"/>
  <c r="Z56" i="28"/>
  <c r="X56" i="28"/>
  <c r="V56" i="28"/>
  <c r="T56" i="28"/>
  <c r="Q56" i="28"/>
  <c r="M56" i="28"/>
  <c r="L56" i="28"/>
  <c r="K56" i="28"/>
  <c r="J56" i="28"/>
  <c r="I56" i="28"/>
  <c r="H56" i="28"/>
  <c r="G56" i="28"/>
  <c r="F56" i="28"/>
  <c r="E56" i="28"/>
  <c r="D56" i="28"/>
  <c r="AV55" i="28"/>
  <c r="AT55" i="28"/>
  <c r="AR55" i="28"/>
  <c r="AP55" i="28"/>
  <c r="AN55" i="28"/>
  <c r="AJ55" i="28"/>
  <c r="AH55" i="28"/>
  <c r="AF55" i="28"/>
  <c r="AD55" i="28"/>
  <c r="AB55" i="28"/>
  <c r="Z55" i="28"/>
  <c r="X55" i="28"/>
  <c r="V55" i="28"/>
  <c r="T55" i="28"/>
  <c r="Q55" i="28"/>
  <c r="M55" i="28"/>
  <c r="L55" i="28"/>
  <c r="K55" i="28"/>
  <c r="J55" i="28"/>
  <c r="I55" i="28"/>
  <c r="H55" i="28"/>
  <c r="G55" i="28"/>
  <c r="F55" i="28"/>
  <c r="E55" i="28"/>
  <c r="D55" i="28"/>
  <c r="AV54" i="28"/>
  <c r="AT54" i="28"/>
  <c r="AR54" i="28"/>
  <c r="AP54" i="28"/>
  <c r="AN54" i="28"/>
  <c r="AJ54" i="28"/>
  <c r="AH54" i="28"/>
  <c r="AF54" i="28"/>
  <c r="AD54" i="28"/>
  <c r="AB54" i="28"/>
  <c r="Z54" i="28"/>
  <c r="X54" i="28"/>
  <c r="V54" i="28"/>
  <c r="T54" i="28"/>
  <c r="Q54" i="28"/>
  <c r="M54" i="28"/>
  <c r="L54" i="28"/>
  <c r="K54" i="28"/>
  <c r="J54" i="28"/>
  <c r="I54" i="28"/>
  <c r="H54" i="28"/>
  <c r="G54" i="28"/>
  <c r="F54" i="28"/>
  <c r="E54" i="28"/>
  <c r="D54" i="28"/>
  <c r="AV53" i="28"/>
  <c r="AT53" i="28"/>
  <c r="AR53" i="28"/>
  <c r="AP53" i="28"/>
  <c r="AN53" i="28"/>
  <c r="AJ53" i="28"/>
  <c r="AH53" i="28"/>
  <c r="AF53" i="28"/>
  <c r="AD53" i="28"/>
  <c r="AB53" i="28"/>
  <c r="Z53" i="28"/>
  <c r="X53" i="28"/>
  <c r="V53" i="28"/>
  <c r="T53" i="28"/>
  <c r="Q53" i="28"/>
  <c r="M53" i="28"/>
  <c r="L53" i="28"/>
  <c r="K53" i="28"/>
  <c r="J53" i="28"/>
  <c r="I53" i="28"/>
  <c r="H53" i="28"/>
  <c r="G53" i="28"/>
  <c r="F53" i="28"/>
  <c r="E53" i="28"/>
  <c r="D53" i="28"/>
  <c r="AV52" i="28"/>
  <c r="AT52" i="28"/>
  <c r="AR52" i="28"/>
  <c r="AP52" i="28"/>
  <c r="AN52" i="28"/>
  <c r="AJ52" i="28"/>
  <c r="AH52" i="28"/>
  <c r="AF52" i="28"/>
  <c r="AD52" i="28"/>
  <c r="AB52" i="28"/>
  <c r="Z52" i="28"/>
  <c r="X52" i="28"/>
  <c r="V52" i="28"/>
  <c r="T52" i="28"/>
  <c r="Q52" i="28"/>
  <c r="M52" i="28"/>
  <c r="L52" i="28"/>
  <c r="K52" i="28"/>
  <c r="J52" i="28"/>
  <c r="I52" i="28"/>
  <c r="H52" i="28"/>
  <c r="G52" i="28"/>
  <c r="F52" i="28"/>
  <c r="E52" i="28"/>
  <c r="D52" i="28"/>
  <c r="AV51" i="28"/>
  <c r="AT51" i="28"/>
  <c r="AR51" i="28"/>
  <c r="AP51" i="28"/>
  <c r="AN51" i="28"/>
  <c r="AJ51" i="28"/>
  <c r="AH51" i="28"/>
  <c r="AF51" i="28"/>
  <c r="AD51" i="28"/>
  <c r="AB51" i="28"/>
  <c r="Z51" i="28"/>
  <c r="X51" i="28"/>
  <c r="V51" i="28"/>
  <c r="T51" i="28"/>
  <c r="Q51" i="28"/>
  <c r="M51" i="28"/>
  <c r="L51" i="28"/>
  <c r="K51" i="28"/>
  <c r="J51" i="28"/>
  <c r="I51" i="28"/>
  <c r="H51" i="28"/>
  <c r="G51" i="28"/>
  <c r="F51" i="28"/>
  <c r="E51" i="28"/>
  <c r="D51" i="28"/>
  <c r="AV50" i="28"/>
  <c r="AT50" i="28"/>
  <c r="AR50" i="28"/>
  <c r="AP50" i="28"/>
  <c r="AN50" i="28"/>
  <c r="AJ50" i="28"/>
  <c r="AH50" i="28"/>
  <c r="AF50" i="28"/>
  <c r="AD50" i="28"/>
  <c r="AB50" i="28"/>
  <c r="Z50" i="28"/>
  <c r="X50" i="28"/>
  <c r="V50" i="28"/>
  <c r="T50" i="28"/>
  <c r="Q50" i="28"/>
  <c r="M50" i="28"/>
  <c r="L50" i="28"/>
  <c r="K50" i="28"/>
  <c r="J50" i="28"/>
  <c r="I50" i="28"/>
  <c r="H50" i="28"/>
  <c r="G50" i="28"/>
  <c r="F50" i="28"/>
  <c r="E50" i="28"/>
  <c r="D50" i="28"/>
  <c r="AV49" i="28"/>
  <c r="AT49" i="28"/>
  <c r="AR49" i="28"/>
  <c r="AP49" i="28"/>
  <c r="AN49" i="28"/>
  <c r="AJ49" i="28"/>
  <c r="AH49" i="28"/>
  <c r="AF49" i="28"/>
  <c r="AD49" i="28"/>
  <c r="AB49" i="28"/>
  <c r="Z49" i="28"/>
  <c r="X49" i="28"/>
  <c r="V49" i="28"/>
  <c r="T49" i="28"/>
  <c r="Q49" i="28"/>
  <c r="M49" i="28"/>
  <c r="L49" i="28"/>
  <c r="K49" i="28"/>
  <c r="J49" i="28"/>
  <c r="I49" i="28"/>
  <c r="H49" i="28"/>
  <c r="G49" i="28"/>
  <c r="F49" i="28"/>
  <c r="E49" i="28"/>
  <c r="D49" i="28"/>
  <c r="AV48" i="28"/>
  <c r="AT48" i="28"/>
  <c r="AR48" i="28"/>
  <c r="AP48" i="28"/>
  <c r="AN48" i="28"/>
  <c r="AJ48" i="28"/>
  <c r="AH48" i="28"/>
  <c r="AF48" i="28"/>
  <c r="AD48" i="28"/>
  <c r="AB48" i="28"/>
  <c r="Z48" i="28"/>
  <c r="X48" i="28"/>
  <c r="V48" i="28"/>
  <c r="T48" i="28"/>
  <c r="Q48" i="28"/>
  <c r="M48" i="28"/>
  <c r="L48" i="28"/>
  <c r="K48" i="28"/>
  <c r="J48" i="28"/>
  <c r="I48" i="28"/>
  <c r="H48" i="28"/>
  <c r="G48" i="28"/>
  <c r="F48" i="28"/>
  <c r="E48" i="28"/>
  <c r="D48" i="28"/>
  <c r="AV47" i="28"/>
  <c r="AT47" i="28"/>
  <c r="AR47" i="28"/>
  <c r="AP47" i="28"/>
  <c r="AN47" i="28"/>
  <c r="AJ47" i="28"/>
  <c r="AH47" i="28"/>
  <c r="AF47" i="28"/>
  <c r="AD47" i="28"/>
  <c r="AB47" i="28"/>
  <c r="Z47" i="28"/>
  <c r="X47" i="28"/>
  <c r="V47" i="28"/>
  <c r="T47" i="28"/>
  <c r="Q47" i="28"/>
  <c r="M47" i="28"/>
  <c r="L47" i="28"/>
  <c r="K47" i="28"/>
  <c r="J47" i="28"/>
  <c r="I47" i="28"/>
  <c r="H47" i="28"/>
  <c r="G47" i="28"/>
  <c r="F47" i="28"/>
  <c r="E47" i="28"/>
  <c r="D47" i="28"/>
  <c r="AV46" i="28"/>
  <c r="AT46" i="28"/>
  <c r="AR46" i="28"/>
  <c r="AP46" i="28"/>
  <c r="AN46" i="28"/>
  <c r="AJ46" i="28"/>
  <c r="AH46" i="28"/>
  <c r="AF46" i="28"/>
  <c r="AD46" i="28"/>
  <c r="AB46" i="28"/>
  <c r="Z46" i="28"/>
  <c r="X46" i="28"/>
  <c r="V46" i="28"/>
  <c r="T46" i="28"/>
  <c r="Q46" i="28"/>
  <c r="M46" i="28"/>
  <c r="L46" i="28"/>
  <c r="K46" i="28"/>
  <c r="J46" i="28"/>
  <c r="I46" i="28"/>
  <c r="H46" i="28"/>
  <c r="G46" i="28"/>
  <c r="F46" i="28"/>
  <c r="E46" i="28"/>
  <c r="D46" i="28"/>
  <c r="AV45" i="28"/>
  <c r="AT45" i="28"/>
  <c r="AR45" i="28"/>
  <c r="AP45" i="28"/>
  <c r="AN45" i="28"/>
  <c r="AJ45" i="28"/>
  <c r="AH45" i="28"/>
  <c r="AF45" i="28"/>
  <c r="AD45" i="28"/>
  <c r="AB45" i="28"/>
  <c r="Z45" i="28"/>
  <c r="X45" i="28"/>
  <c r="V45" i="28"/>
  <c r="T45" i="28"/>
  <c r="Q45" i="28"/>
  <c r="M45" i="28"/>
  <c r="L45" i="28"/>
  <c r="K45" i="28"/>
  <c r="J45" i="28"/>
  <c r="I45" i="28"/>
  <c r="H45" i="28"/>
  <c r="G45" i="28"/>
  <c r="F45" i="28"/>
  <c r="E45" i="28"/>
  <c r="D45" i="28"/>
  <c r="AV44" i="28"/>
  <c r="AT44" i="28"/>
  <c r="AR44" i="28"/>
  <c r="AP44" i="28"/>
  <c r="AN44" i="28"/>
  <c r="AJ44" i="28"/>
  <c r="AH44" i="28"/>
  <c r="AF44" i="28"/>
  <c r="AD44" i="28"/>
  <c r="AB44" i="28"/>
  <c r="Z44" i="28"/>
  <c r="X44" i="28"/>
  <c r="V44" i="28"/>
  <c r="T44" i="28"/>
  <c r="Q44" i="28"/>
  <c r="M44" i="28"/>
  <c r="L44" i="28"/>
  <c r="K44" i="28"/>
  <c r="J44" i="28"/>
  <c r="I44" i="28"/>
  <c r="H44" i="28"/>
  <c r="G44" i="28"/>
  <c r="F44" i="28"/>
  <c r="E44" i="28"/>
  <c r="D44" i="28"/>
  <c r="AV43" i="28"/>
  <c r="AT43" i="28"/>
  <c r="AR43" i="28"/>
  <c r="AP43" i="28"/>
  <c r="AN43" i="28"/>
  <c r="AJ43" i="28"/>
  <c r="AH43" i="28"/>
  <c r="AF43" i="28"/>
  <c r="AD43" i="28"/>
  <c r="AB43" i="28"/>
  <c r="Z43" i="28"/>
  <c r="X43" i="28"/>
  <c r="V43" i="28"/>
  <c r="T43" i="28"/>
  <c r="Q43" i="28"/>
  <c r="M43" i="28"/>
  <c r="L43" i="28"/>
  <c r="K43" i="28"/>
  <c r="J43" i="28"/>
  <c r="I43" i="28"/>
  <c r="H43" i="28"/>
  <c r="G43" i="28"/>
  <c r="F43" i="28"/>
  <c r="E43" i="28"/>
  <c r="D43" i="28"/>
  <c r="AV42" i="28"/>
  <c r="AT42" i="28"/>
  <c r="AR42" i="28"/>
  <c r="AP42" i="28"/>
  <c r="AN42" i="28"/>
  <c r="AJ42" i="28"/>
  <c r="AH42" i="28"/>
  <c r="AF42" i="28"/>
  <c r="AD42" i="28"/>
  <c r="AB42" i="28"/>
  <c r="Z42" i="28"/>
  <c r="X42" i="28"/>
  <c r="V42" i="28"/>
  <c r="T42" i="28"/>
  <c r="Q42" i="28"/>
  <c r="M42" i="28"/>
  <c r="L42" i="28"/>
  <c r="K42" i="28"/>
  <c r="J42" i="28"/>
  <c r="I42" i="28"/>
  <c r="H42" i="28"/>
  <c r="G42" i="28"/>
  <c r="F42" i="28"/>
  <c r="E42" i="28"/>
  <c r="D42" i="28"/>
  <c r="AV41" i="28"/>
  <c r="AT41" i="28"/>
  <c r="AR41" i="28"/>
  <c r="AP41" i="28"/>
  <c r="AN41" i="28"/>
  <c r="AJ41" i="28"/>
  <c r="AH41" i="28"/>
  <c r="AF41" i="28"/>
  <c r="AD41" i="28"/>
  <c r="AB41" i="28"/>
  <c r="Z41" i="28"/>
  <c r="X41" i="28"/>
  <c r="V41" i="28"/>
  <c r="T41" i="28"/>
  <c r="Q41" i="28"/>
  <c r="M41" i="28"/>
  <c r="L41" i="28"/>
  <c r="K41" i="28"/>
  <c r="J41" i="28"/>
  <c r="I41" i="28"/>
  <c r="H41" i="28"/>
  <c r="G41" i="28"/>
  <c r="F41" i="28"/>
  <c r="E41" i="28"/>
  <c r="D41" i="28"/>
  <c r="AV40" i="28"/>
  <c r="AT40" i="28"/>
  <c r="AR40" i="28"/>
  <c r="AP40" i="28"/>
  <c r="AN40" i="28"/>
  <c r="AJ40" i="28"/>
  <c r="AH40" i="28"/>
  <c r="AF40" i="28"/>
  <c r="AD40" i="28"/>
  <c r="AB40" i="28"/>
  <c r="Z40" i="28"/>
  <c r="X40" i="28"/>
  <c r="V40" i="28"/>
  <c r="T40" i="28"/>
  <c r="Q40" i="28"/>
  <c r="M40" i="28"/>
  <c r="L40" i="28"/>
  <c r="K40" i="28"/>
  <c r="J40" i="28"/>
  <c r="I40" i="28"/>
  <c r="H40" i="28"/>
  <c r="G40" i="28"/>
  <c r="F40" i="28"/>
  <c r="E40" i="28"/>
  <c r="D40" i="28"/>
  <c r="AV39" i="28"/>
  <c r="AT39" i="28"/>
  <c r="AR39" i="28"/>
  <c r="AP39" i="28"/>
  <c r="AN39" i="28"/>
  <c r="AJ39" i="28"/>
  <c r="AH39" i="28"/>
  <c r="AF39" i="28"/>
  <c r="AD39" i="28"/>
  <c r="AB39" i="28"/>
  <c r="Z39" i="28"/>
  <c r="X39" i="28"/>
  <c r="V39" i="28"/>
  <c r="T39" i="28"/>
  <c r="Q39" i="28"/>
  <c r="M39" i="28"/>
  <c r="L39" i="28"/>
  <c r="K39" i="28"/>
  <c r="J39" i="28"/>
  <c r="I39" i="28"/>
  <c r="H39" i="28"/>
  <c r="G39" i="28"/>
  <c r="F39" i="28"/>
  <c r="E39" i="28"/>
  <c r="D39" i="28"/>
  <c r="AV38" i="28"/>
  <c r="AT38" i="28"/>
  <c r="AR38" i="28"/>
  <c r="AP38" i="28"/>
  <c r="AN38" i="28"/>
  <c r="AJ38" i="28"/>
  <c r="AH38" i="28"/>
  <c r="AF38" i="28"/>
  <c r="AD38" i="28"/>
  <c r="AB38" i="28"/>
  <c r="Z38" i="28"/>
  <c r="X38" i="28"/>
  <c r="V38" i="28"/>
  <c r="T38" i="28"/>
  <c r="Q38" i="28"/>
  <c r="M38" i="28"/>
  <c r="L38" i="28"/>
  <c r="K38" i="28"/>
  <c r="J38" i="28"/>
  <c r="I38" i="28"/>
  <c r="H38" i="28"/>
  <c r="G38" i="28"/>
  <c r="F38" i="28"/>
  <c r="E38" i="28"/>
  <c r="D38" i="28"/>
  <c r="AV37" i="28"/>
  <c r="AT37" i="28"/>
  <c r="AR37" i="28"/>
  <c r="AP37" i="28"/>
  <c r="AN37" i="28"/>
  <c r="AJ37" i="28"/>
  <c r="AH37" i="28"/>
  <c r="AF37" i="28"/>
  <c r="AD37" i="28"/>
  <c r="AB37" i="28"/>
  <c r="Z37" i="28"/>
  <c r="X37" i="28"/>
  <c r="V37" i="28"/>
  <c r="T37" i="28"/>
  <c r="Q37" i="28"/>
  <c r="M37" i="28"/>
  <c r="L37" i="28"/>
  <c r="K37" i="28"/>
  <c r="J37" i="28"/>
  <c r="I37" i="28"/>
  <c r="H37" i="28"/>
  <c r="G37" i="28"/>
  <c r="F37" i="28"/>
  <c r="E37" i="28"/>
  <c r="D37" i="28"/>
  <c r="AV36" i="28"/>
  <c r="AT36" i="28"/>
  <c r="AR36" i="28"/>
  <c r="AP36" i="28"/>
  <c r="AN36" i="28"/>
  <c r="AJ36" i="28"/>
  <c r="AH36" i="28"/>
  <c r="AF36" i="28"/>
  <c r="AD36" i="28"/>
  <c r="AB36" i="28"/>
  <c r="Z36" i="28"/>
  <c r="X36" i="28"/>
  <c r="V36" i="28"/>
  <c r="T36" i="28"/>
  <c r="Q36" i="28"/>
  <c r="M36" i="28"/>
  <c r="L36" i="28"/>
  <c r="K36" i="28"/>
  <c r="J36" i="28"/>
  <c r="I36" i="28"/>
  <c r="H36" i="28"/>
  <c r="G36" i="28"/>
  <c r="F36" i="28"/>
  <c r="E36" i="28"/>
  <c r="D36" i="28"/>
  <c r="AV35" i="28"/>
  <c r="AT35" i="28"/>
  <c r="AR35" i="28"/>
  <c r="AP35" i="28"/>
  <c r="AN35" i="28"/>
  <c r="AJ35" i="28"/>
  <c r="AH35" i="28"/>
  <c r="AF35" i="28"/>
  <c r="AD35" i="28"/>
  <c r="AB35" i="28"/>
  <c r="Z35" i="28"/>
  <c r="X35" i="28"/>
  <c r="V35" i="28"/>
  <c r="T35" i="28"/>
  <c r="Q35" i="28"/>
  <c r="M35" i="28"/>
  <c r="L35" i="28"/>
  <c r="K35" i="28"/>
  <c r="J35" i="28"/>
  <c r="I35" i="28"/>
  <c r="H35" i="28"/>
  <c r="G35" i="28"/>
  <c r="F35" i="28"/>
  <c r="E35" i="28"/>
  <c r="D35" i="28"/>
  <c r="AV34" i="28"/>
  <c r="AT34" i="28"/>
  <c r="AR34" i="28"/>
  <c r="AP34" i="28"/>
  <c r="AN34" i="28"/>
  <c r="AJ34" i="28"/>
  <c r="AH34" i="28"/>
  <c r="AF34" i="28"/>
  <c r="AD34" i="28"/>
  <c r="AB34" i="28"/>
  <c r="Z34" i="28"/>
  <c r="X34" i="28"/>
  <c r="V34" i="28"/>
  <c r="T34" i="28"/>
  <c r="Q34" i="28"/>
  <c r="M34" i="28"/>
  <c r="L34" i="28"/>
  <c r="K34" i="28"/>
  <c r="J34" i="28"/>
  <c r="I34" i="28"/>
  <c r="H34" i="28"/>
  <c r="G34" i="28"/>
  <c r="F34" i="28"/>
  <c r="E34" i="28"/>
  <c r="D34" i="28"/>
  <c r="AV33" i="28"/>
  <c r="AT33" i="28"/>
  <c r="AR33" i="28"/>
  <c r="AP33" i="28"/>
  <c r="AN33" i="28"/>
  <c r="AJ33" i="28"/>
  <c r="AH33" i="28"/>
  <c r="AF33" i="28"/>
  <c r="AD33" i="28"/>
  <c r="AB33" i="28"/>
  <c r="Z33" i="28"/>
  <c r="X33" i="28"/>
  <c r="V33" i="28"/>
  <c r="T33" i="28"/>
  <c r="Q33" i="28"/>
  <c r="M33" i="28"/>
  <c r="L33" i="28"/>
  <c r="K33" i="28"/>
  <c r="J33" i="28"/>
  <c r="I33" i="28"/>
  <c r="H33" i="28"/>
  <c r="G33" i="28"/>
  <c r="F33" i="28"/>
  <c r="E33" i="28"/>
  <c r="D33" i="28"/>
  <c r="AV32" i="28"/>
  <c r="AT32" i="28"/>
  <c r="AR32" i="28"/>
  <c r="AP32" i="28"/>
  <c r="AN32" i="28"/>
  <c r="AJ32" i="28"/>
  <c r="AH32" i="28"/>
  <c r="AF32" i="28"/>
  <c r="AD32" i="28"/>
  <c r="AB32" i="28"/>
  <c r="Z32" i="28"/>
  <c r="X32" i="28"/>
  <c r="V32" i="28"/>
  <c r="T32" i="28"/>
  <c r="Q32" i="28"/>
  <c r="M32" i="28"/>
  <c r="L32" i="28"/>
  <c r="K32" i="28"/>
  <c r="J32" i="28"/>
  <c r="I32" i="28"/>
  <c r="H32" i="28"/>
  <c r="G32" i="28"/>
  <c r="F32" i="28"/>
  <c r="E32" i="28"/>
  <c r="D32" i="28"/>
  <c r="AV31" i="28"/>
  <c r="AT31" i="28"/>
  <c r="AR31" i="28"/>
  <c r="AP31" i="28"/>
  <c r="AN31" i="28"/>
  <c r="AJ31" i="28"/>
  <c r="AH31" i="28"/>
  <c r="AF31" i="28"/>
  <c r="AD31" i="28"/>
  <c r="AB31" i="28"/>
  <c r="Z31" i="28"/>
  <c r="X31" i="28"/>
  <c r="V31" i="28"/>
  <c r="T31" i="28"/>
  <c r="Q31" i="28"/>
  <c r="M31" i="28"/>
  <c r="L31" i="28"/>
  <c r="K31" i="28"/>
  <c r="J31" i="28"/>
  <c r="I31" i="28"/>
  <c r="H31" i="28"/>
  <c r="G31" i="28"/>
  <c r="F31" i="28"/>
  <c r="E31" i="28"/>
  <c r="D31" i="28"/>
  <c r="AV30" i="28"/>
  <c r="AT30" i="28"/>
  <c r="AR30" i="28"/>
  <c r="AP30" i="28"/>
  <c r="AN30" i="28"/>
  <c r="AJ30" i="28"/>
  <c r="AH30" i="28"/>
  <c r="AF30" i="28"/>
  <c r="AD30" i="28"/>
  <c r="AB30" i="28"/>
  <c r="Z30" i="28"/>
  <c r="X30" i="28"/>
  <c r="V30" i="28"/>
  <c r="T30" i="28"/>
  <c r="Q30" i="28"/>
  <c r="M30" i="28"/>
  <c r="L30" i="28"/>
  <c r="K30" i="28"/>
  <c r="J30" i="28"/>
  <c r="I30" i="28"/>
  <c r="H30" i="28"/>
  <c r="G30" i="28"/>
  <c r="F30" i="28"/>
  <c r="E30" i="28"/>
  <c r="D30" i="28"/>
  <c r="AV29" i="28"/>
  <c r="AT29" i="28"/>
  <c r="AR29" i="28"/>
  <c r="AP29" i="28"/>
  <c r="AN29" i="28"/>
  <c r="AJ29" i="28"/>
  <c r="AH29" i="28"/>
  <c r="AF29" i="28"/>
  <c r="AD29" i="28"/>
  <c r="AB29" i="28"/>
  <c r="Z29" i="28"/>
  <c r="X29" i="28"/>
  <c r="V29" i="28"/>
  <c r="T29" i="28"/>
  <c r="Q29" i="28"/>
  <c r="M29" i="28"/>
  <c r="L29" i="28"/>
  <c r="K29" i="28"/>
  <c r="J29" i="28"/>
  <c r="I29" i="28"/>
  <c r="H29" i="28"/>
  <c r="G29" i="28"/>
  <c r="F29" i="28"/>
  <c r="E29" i="28"/>
  <c r="D29" i="28"/>
  <c r="AV28" i="28"/>
  <c r="AT28" i="28"/>
  <c r="AR28" i="28"/>
  <c r="AP28" i="28"/>
  <c r="AN28" i="28"/>
  <c r="AJ28" i="28"/>
  <c r="AH28" i="28"/>
  <c r="AF28" i="28"/>
  <c r="AD28" i="28"/>
  <c r="AB28" i="28"/>
  <c r="Z28" i="28"/>
  <c r="X28" i="28"/>
  <c r="V28" i="28"/>
  <c r="T28" i="28"/>
  <c r="Q28" i="28"/>
  <c r="M28" i="28"/>
  <c r="L28" i="28"/>
  <c r="K28" i="28"/>
  <c r="J28" i="28"/>
  <c r="I28" i="28"/>
  <c r="H28" i="28"/>
  <c r="G28" i="28"/>
  <c r="F28" i="28"/>
  <c r="E28" i="28"/>
  <c r="D28" i="28"/>
  <c r="AV27" i="28"/>
  <c r="AT27" i="28"/>
  <c r="AR27" i="28"/>
  <c r="AP27" i="28"/>
  <c r="AN27" i="28"/>
  <c r="AJ27" i="28"/>
  <c r="AH27" i="28"/>
  <c r="AF27" i="28"/>
  <c r="AD27" i="28"/>
  <c r="AB27" i="28"/>
  <c r="Z27" i="28"/>
  <c r="X27" i="28"/>
  <c r="V27" i="28"/>
  <c r="T27" i="28"/>
  <c r="Q27" i="28"/>
  <c r="M27" i="28"/>
  <c r="L27" i="28"/>
  <c r="K27" i="28"/>
  <c r="J27" i="28"/>
  <c r="I27" i="28"/>
  <c r="H27" i="28"/>
  <c r="G27" i="28"/>
  <c r="F27" i="28"/>
  <c r="E27" i="28"/>
  <c r="D27" i="28"/>
  <c r="AV26" i="28"/>
  <c r="AT26" i="28"/>
  <c r="AR26" i="28"/>
  <c r="AP26" i="28"/>
  <c r="AN26" i="28"/>
  <c r="AJ26" i="28"/>
  <c r="AH26" i="28"/>
  <c r="AF26" i="28"/>
  <c r="AD26" i="28"/>
  <c r="AB26" i="28"/>
  <c r="Z26" i="28"/>
  <c r="X26" i="28"/>
  <c r="V26" i="28"/>
  <c r="T26" i="28"/>
  <c r="Q26" i="28"/>
  <c r="M26" i="28"/>
  <c r="L26" i="28"/>
  <c r="K26" i="28"/>
  <c r="J26" i="28"/>
  <c r="I26" i="28"/>
  <c r="H26" i="28"/>
  <c r="G26" i="28"/>
  <c r="F26" i="28"/>
  <c r="E26" i="28"/>
  <c r="D26" i="28"/>
  <c r="AV25" i="28"/>
  <c r="AT25" i="28"/>
  <c r="AR25" i="28"/>
  <c r="AP25" i="28"/>
  <c r="AN25" i="28"/>
  <c r="AJ25" i="28"/>
  <c r="AH25" i="28"/>
  <c r="AF25" i="28"/>
  <c r="AD25" i="28"/>
  <c r="AB25" i="28"/>
  <c r="Z25" i="28"/>
  <c r="X25" i="28"/>
  <c r="V25" i="28"/>
  <c r="T25" i="28"/>
  <c r="Q25" i="28"/>
  <c r="M25" i="28"/>
  <c r="L25" i="28"/>
  <c r="K25" i="28"/>
  <c r="J25" i="28"/>
  <c r="I25" i="28"/>
  <c r="H25" i="28"/>
  <c r="G25" i="28"/>
  <c r="F25" i="28"/>
  <c r="E25" i="28"/>
  <c r="D25" i="28"/>
  <c r="AV24" i="28"/>
  <c r="AT24" i="28"/>
  <c r="AR24" i="28"/>
  <c r="AP24" i="28"/>
  <c r="AN24" i="28"/>
  <c r="AJ24" i="28"/>
  <c r="AH24" i="28"/>
  <c r="AF24" i="28"/>
  <c r="AD24" i="28"/>
  <c r="AB24" i="28"/>
  <c r="Z24" i="28"/>
  <c r="X24" i="28"/>
  <c r="V24" i="28"/>
  <c r="T24" i="28"/>
  <c r="Q24" i="28"/>
  <c r="M24" i="28"/>
  <c r="L24" i="28"/>
  <c r="K24" i="28"/>
  <c r="J24" i="28"/>
  <c r="I24" i="28"/>
  <c r="H24" i="28"/>
  <c r="G24" i="28"/>
  <c r="F24" i="28"/>
  <c r="E24" i="28"/>
  <c r="D24" i="28"/>
  <c r="AV23" i="28"/>
  <c r="AT23" i="28"/>
  <c r="AR23" i="28"/>
  <c r="AP23" i="28"/>
  <c r="AN23" i="28"/>
  <c r="AJ23" i="28"/>
  <c r="AH23" i="28"/>
  <c r="AF23" i="28"/>
  <c r="AD23" i="28"/>
  <c r="AB23" i="28"/>
  <c r="Z23" i="28"/>
  <c r="X23" i="28"/>
  <c r="V23" i="28"/>
  <c r="T23" i="28"/>
  <c r="Q23" i="28"/>
  <c r="M23" i="28"/>
  <c r="L23" i="28"/>
  <c r="K23" i="28"/>
  <c r="J23" i="28"/>
  <c r="I23" i="28"/>
  <c r="H23" i="28"/>
  <c r="G23" i="28"/>
  <c r="F23" i="28"/>
  <c r="E23" i="28"/>
  <c r="D23" i="28"/>
  <c r="AV22" i="28"/>
  <c r="AT22" i="28"/>
  <c r="AR22" i="28"/>
  <c r="AP22" i="28"/>
  <c r="AN22" i="28"/>
  <c r="AJ22" i="28"/>
  <c r="AH22" i="28"/>
  <c r="AF22" i="28"/>
  <c r="AD22" i="28"/>
  <c r="AB22" i="28"/>
  <c r="Z22" i="28"/>
  <c r="X22" i="28"/>
  <c r="V22" i="28"/>
  <c r="T22" i="28"/>
  <c r="Q22" i="28"/>
  <c r="M22" i="28"/>
  <c r="L22" i="28"/>
  <c r="K22" i="28"/>
  <c r="J22" i="28"/>
  <c r="I22" i="28"/>
  <c r="H22" i="28"/>
  <c r="G22" i="28"/>
  <c r="F22" i="28"/>
  <c r="E22" i="28"/>
  <c r="D22" i="28"/>
  <c r="AV21" i="28"/>
  <c r="AT21" i="28"/>
  <c r="AR21" i="28"/>
  <c r="AP21" i="28"/>
  <c r="AN21" i="28"/>
  <c r="AJ21" i="28"/>
  <c r="AH21" i="28"/>
  <c r="AF21" i="28"/>
  <c r="AD21" i="28"/>
  <c r="AB21" i="28"/>
  <c r="Z21" i="28"/>
  <c r="X21" i="28"/>
  <c r="V21" i="28"/>
  <c r="T21" i="28"/>
  <c r="Q21" i="28"/>
  <c r="M21" i="28"/>
  <c r="L21" i="28"/>
  <c r="K21" i="28"/>
  <c r="J21" i="28"/>
  <c r="I21" i="28"/>
  <c r="H21" i="28"/>
  <c r="G21" i="28"/>
  <c r="F21" i="28"/>
  <c r="E21" i="28"/>
  <c r="D21" i="28"/>
  <c r="AV20" i="28"/>
  <c r="AU101" i="28" s="1"/>
  <c r="AT20" i="28"/>
  <c r="AS101" i="28" s="1"/>
  <c r="AR20" i="28"/>
  <c r="AQ101" i="28" s="1"/>
  <c r="AP20" i="28"/>
  <c r="AO101" i="28" s="1"/>
  <c r="AN20" i="28"/>
  <c r="AM101" i="28" s="1"/>
  <c r="AJ20" i="28"/>
  <c r="AI101" i="28" s="1"/>
  <c r="AH20" i="28"/>
  <c r="AG101" i="28" s="1"/>
  <c r="AF20" i="28"/>
  <c r="AE101" i="28" s="1"/>
  <c r="AD20" i="28"/>
  <c r="AC101" i="28" s="1"/>
  <c r="AB20" i="28"/>
  <c r="AA101" i="28" s="1"/>
  <c r="Z20" i="28"/>
  <c r="Y101" i="28" s="1"/>
  <c r="X20" i="28"/>
  <c r="W101" i="28" s="1"/>
  <c r="V20" i="28"/>
  <c r="U101" i="28" s="1"/>
  <c r="T20" i="28"/>
  <c r="S101" i="28" s="1"/>
  <c r="Q20" i="28"/>
  <c r="P101" i="28" s="1"/>
  <c r="M20" i="28"/>
  <c r="L20" i="28"/>
  <c r="K20" i="28"/>
  <c r="J20" i="28"/>
  <c r="I20" i="28"/>
  <c r="H20" i="28"/>
  <c r="G20" i="28"/>
  <c r="F20" i="28"/>
  <c r="E20" i="28"/>
  <c r="D20" i="28"/>
  <c r="B14" i="28"/>
  <c r="N13" i="28"/>
  <c r="L13" i="28"/>
  <c r="K13" i="28"/>
  <c r="H13" i="28"/>
  <c r="N12" i="28"/>
  <c r="L12" i="28"/>
  <c r="K12" i="28"/>
  <c r="H12" i="28"/>
  <c r="N11" i="28"/>
  <c r="L11" i="28"/>
  <c r="K11" i="28"/>
  <c r="H11" i="28"/>
  <c r="N10" i="28"/>
  <c r="L10" i="28"/>
  <c r="K10" i="28"/>
  <c r="H10" i="28"/>
  <c r="N9" i="28"/>
  <c r="L9" i="28"/>
  <c r="K9" i="28"/>
  <c r="H9" i="28"/>
  <c r="N8" i="28"/>
  <c r="L8" i="28"/>
  <c r="K8" i="28"/>
  <c r="H8" i="28"/>
  <c r="N7" i="28"/>
  <c r="L7" i="28"/>
  <c r="K7" i="28"/>
  <c r="H7" i="28"/>
  <c r="C270" i="27"/>
  <c r="C268" i="27"/>
  <c r="C267" i="27"/>
  <c r="C265" i="27"/>
  <c r="C264" i="27"/>
  <c r="C262" i="27"/>
  <c r="C261" i="27"/>
  <c r="G4" i="27"/>
  <c r="E4" i="27"/>
  <c r="C4" i="27"/>
  <c r="G3" i="27"/>
  <c r="E3" i="27"/>
  <c r="C3" i="27"/>
  <c r="F118" i="26"/>
  <c r="C117" i="26"/>
  <c r="G4" i="26"/>
  <c r="E4" i="26"/>
  <c r="C4" i="26"/>
  <c r="G3" i="26"/>
  <c r="E3" i="26"/>
  <c r="C3" i="26"/>
  <c r="C213" i="25"/>
  <c r="B213" i="25"/>
  <c r="A213" i="25"/>
  <c r="C212" i="25"/>
  <c r="B212" i="25"/>
  <c r="A212" i="25"/>
  <c r="C211" i="25"/>
  <c r="B211" i="25"/>
  <c r="A211" i="25"/>
  <c r="C210" i="25"/>
  <c r="B210" i="25"/>
  <c r="A210" i="25"/>
  <c r="C209" i="25"/>
  <c r="B209" i="25"/>
  <c r="A209" i="25"/>
  <c r="C208" i="25"/>
  <c r="B208" i="25"/>
  <c r="A208" i="25"/>
  <c r="C207" i="25"/>
  <c r="B207" i="25"/>
  <c r="A207" i="25"/>
  <c r="C206" i="25"/>
  <c r="B206" i="25"/>
  <c r="A206" i="25"/>
  <c r="C205" i="25"/>
  <c r="B205" i="25"/>
  <c r="A205" i="25"/>
  <c r="C204" i="25"/>
  <c r="B204" i="25"/>
  <c r="A204" i="25"/>
  <c r="C203" i="25"/>
  <c r="B203" i="25"/>
  <c r="A203" i="25"/>
  <c r="C202" i="25"/>
  <c r="B202" i="25"/>
  <c r="A202" i="25"/>
  <c r="C201" i="25"/>
  <c r="B201" i="25"/>
  <c r="A201" i="25"/>
  <c r="C200" i="25"/>
  <c r="B200" i="25"/>
  <c r="A200" i="25"/>
  <c r="C199" i="25"/>
  <c r="B199" i="25"/>
  <c r="A199" i="25"/>
  <c r="C198" i="25"/>
  <c r="B198" i="25"/>
  <c r="A198" i="25"/>
  <c r="C197" i="25"/>
  <c r="B197" i="25"/>
  <c r="A197" i="25"/>
  <c r="C196" i="25"/>
  <c r="B196" i="25"/>
  <c r="A196" i="25"/>
  <c r="C195" i="25"/>
  <c r="B195" i="25"/>
  <c r="A195" i="25"/>
  <c r="C194" i="25"/>
  <c r="B194" i="25"/>
  <c r="A194" i="25"/>
  <c r="C193" i="25"/>
  <c r="B193" i="25"/>
  <c r="A193" i="25"/>
  <c r="C192" i="25"/>
  <c r="B192" i="25"/>
  <c r="A192" i="25"/>
  <c r="C191" i="25"/>
  <c r="B191" i="25"/>
  <c r="A191" i="25"/>
  <c r="C190" i="25"/>
  <c r="B190" i="25"/>
  <c r="A190" i="25"/>
  <c r="C189" i="25"/>
  <c r="B189" i="25"/>
  <c r="A189" i="25"/>
  <c r="C188" i="25"/>
  <c r="B188" i="25"/>
  <c r="A188" i="25"/>
  <c r="C187" i="25"/>
  <c r="B187" i="25"/>
  <c r="A187" i="25"/>
  <c r="C186" i="25"/>
  <c r="B186" i="25"/>
  <c r="A186" i="25"/>
  <c r="C185" i="25"/>
  <c r="B185" i="25"/>
  <c r="A185" i="25"/>
  <c r="C184" i="25"/>
  <c r="B184" i="25"/>
  <c r="A184" i="25"/>
  <c r="C183" i="25"/>
  <c r="B183" i="25"/>
  <c r="A183" i="25"/>
  <c r="C182" i="25"/>
  <c r="B182" i="25"/>
  <c r="A182" i="25"/>
  <c r="C181" i="25"/>
  <c r="B181" i="25"/>
  <c r="A181" i="25"/>
  <c r="C180" i="25"/>
  <c r="B180" i="25"/>
  <c r="A180" i="25"/>
  <c r="C179" i="25"/>
  <c r="B179" i="25"/>
  <c r="A179" i="25"/>
  <c r="C178" i="25"/>
  <c r="B178" i="25"/>
  <c r="A178" i="25"/>
  <c r="C177" i="25"/>
  <c r="B177" i="25"/>
  <c r="A177" i="25"/>
  <c r="C176" i="25"/>
  <c r="B176" i="25"/>
  <c r="A176" i="25"/>
  <c r="C175" i="25"/>
  <c r="B175" i="25"/>
  <c r="A175" i="25"/>
  <c r="C174" i="25"/>
  <c r="B174" i="25"/>
  <c r="A174" i="25"/>
  <c r="C173" i="25"/>
  <c r="B173" i="25"/>
  <c r="A173" i="25"/>
  <c r="C172" i="25"/>
  <c r="B172" i="25"/>
  <c r="A172" i="25"/>
  <c r="C171" i="25"/>
  <c r="B171" i="25"/>
  <c r="A171" i="25"/>
  <c r="C170" i="25"/>
  <c r="B170" i="25"/>
  <c r="A170" i="25"/>
  <c r="C169" i="25"/>
  <c r="B169" i="25"/>
  <c r="A169" i="25"/>
  <c r="C168" i="25"/>
  <c r="B168" i="25"/>
  <c r="A168" i="25"/>
  <c r="C167" i="25"/>
  <c r="B167" i="25"/>
  <c r="A167" i="25"/>
  <c r="C166" i="25"/>
  <c r="B166" i="25"/>
  <c r="A166" i="25"/>
  <c r="C165" i="25"/>
  <c r="B165" i="25"/>
  <c r="A165" i="25"/>
  <c r="C164" i="25"/>
  <c r="B164" i="25"/>
  <c r="A164" i="25"/>
  <c r="C163" i="25"/>
  <c r="B163" i="25"/>
  <c r="A163" i="25"/>
  <c r="C162" i="25"/>
  <c r="B162" i="25"/>
  <c r="A162" i="25"/>
  <c r="C161" i="25"/>
  <c r="B161" i="25"/>
  <c r="A161" i="25"/>
  <c r="C160" i="25"/>
  <c r="B160" i="25"/>
  <c r="A160" i="25"/>
  <c r="C159" i="25"/>
  <c r="B159" i="25"/>
  <c r="A159" i="25"/>
  <c r="C158" i="25"/>
  <c r="B158" i="25"/>
  <c r="A158" i="25"/>
  <c r="C157" i="25"/>
  <c r="B157" i="25"/>
  <c r="A157" i="25"/>
  <c r="C156" i="25"/>
  <c r="B156" i="25"/>
  <c r="A156" i="25"/>
  <c r="C155" i="25"/>
  <c r="B155" i="25"/>
  <c r="A155" i="25"/>
  <c r="C154" i="25"/>
  <c r="B154" i="25"/>
  <c r="A154" i="25"/>
  <c r="C153" i="25"/>
  <c r="B153" i="25"/>
  <c r="A153" i="25"/>
  <c r="C152" i="25"/>
  <c r="B152" i="25"/>
  <c r="A152" i="25"/>
  <c r="C151" i="25"/>
  <c r="B151" i="25"/>
  <c r="A151" i="25"/>
  <c r="C150" i="25"/>
  <c r="B150" i="25"/>
  <c r="A150" i="25"/>
  <c r="C149" i="25"/>
  <c r="B149" i="25"/>
  <c r="A149" i="25"/>
  <c r="C148" i="25"/>
  <c r="B148" i="25"/>
  <c r="A148" i="25"/>
  <c r="C147" i="25"/>
  <c r="B147" i="25"/>
  <c r="A147" i="25"/>
  <c r="C146" i="25"/>
  <c r="B146" i="25"/>
  <c r="A146" i="25"/>
  <c r="C145" i="25"/>
  <c r="B145" i="25"/>
  <c r="A145" i="25"/>
  <c r="C144" i="25"/>
  <c r="B144" i="25"/>
  <c r="A144" i="25"/>
  <c r="C143" i="25"/>
  <c r="B143" i="25"/>
  <c r="A143" i="25"/>
  <c r="C142" i="25"/>
  <c r="B142" i="25"/>
  <c r="A142" i="25"/>
  <c r="C141" i="25"/>
  <c r="B141" i="25"/>
  <c r="A141" i="25"/>
  <c r="C140" i="25"/>
  <c r="B140" i="25"/>
  <c r="A140" i="25"/>
  <c r="C139" i="25"/>
  <c r="B139" i="25"/>
  <c r="A139" i="25"/>
  <c r="C138" i="25"/>
  <c r="B138" i="25"/>
  <c r="A138" i="25"/>
  <c r="C137" i="25"/>
  <c r="B137" i="25"/>
  <c r="A137" i="25"/>
  <c r="C136" i="25"/>
  <c r="B136" i="25"/>
  <c r="A136" i="25"/>
  <c r="C135" i="25"/>
  <c r="B135" i="25"/>
  <c r="A135" i="25"/>
  <c r="C134" i="25"/>
  <c r="B134" i="25"/>
  <c r="A134" i="25"/>
  <c r="C133" i="25"/>
  <c r="B133" i="25"/>
  <c r="A133" i="25"/>
  <c r="C132" i="25"/>
  <c r="B132" i="25"/>
  <c r="A132" i="25"/>
  <c r="C131" i="25"/>
  <c r="B131" i="25"/>
  <c r="A131" i="25"/>
  <c r="C130" i="25"/>
  <c r="B130" i="25"/>
  <c r="A130" i="25"/>
  <c r="C129" i="25"/>
  <c r="B129" i="25"/>
  <c r="A129" i="25"/>
  <c r="C128" i="25"/>
  <c r="B128" i="25"/>
  <c r="A128" i="25"/>
  <c r="C127" i="25"/>
  <c r="B127" i="25"/>
  <c r="A127" i="25"/>
  <c r="C126" i="25"/>
  <c r="B126" i="25"/>
  <c r="A126" i="25"/>
  <c r="C125" i="25"/>
  <c r="B125" i="25"/>
  <c r="A125" i="25"/>
  <c r="C124" i="25"/>
  <c r="B124" i="25"/>
  <c r="A124" i="25"/>
  <c r="C123" i="25"/>
  <c r="B123" i="25"/>
  <c r="A123" i="25"/>
  <c r="C122" i="25"/>
  <c r="B122" i="25"/>
  <c r="A122" i="25"/>
  <c r="C121" i="25"/>
  <c r="B121" i="25"/>
  <c r="A121" i="25"/>
  <c r="C120" i="25"/>
  <c r="B120" i="25"/>
  <c r="A120" i="25"/>
  <c r="C119" i="25"/>
  <c r="B119" i="25"/>
  <c r="A119" i="25"/>
  <c r="C118" i="25"/>
  <c r="B118" i="25"/>
  <c r="A118" i="25"/>
  <c r="C117" i="25"/>
  <c r="B117" i="25"/>
  <c r="A117" i="25"/>
  <c r="C116" i="25"/>
  <c r="B116" i="25"/>
  <c r="A116" i="25"/>
  <c r="C115" i="25"/>
  <c r="B115" i="25"/>
  <c r="A115" i="25"/>
  <c r="C114" i="25"/>
  <c r="B114" i="25"/>
  <c r="A114" i="25"/>
  <c r="C113" i="25"/>
  <c r="B113" i="25"/>
  <c r="A113" i="25"/>
  <c r="C112" i="25"/>
  <c r="B112" i="25"/>
  <c r="A112" i="25"/>
  <c r="C111" i="25"/>
  <c r="B111" i="25"/>
  <c r="A111" i="25"/>
  <c r="C110" i="25"/>
  <c r="B110" i="25"/>
  <c r="A110" i="25"/>
  <c r="C109" i="25"/>
  <c r="B109" i="25"/>
  <c r="A109" i="25"/>
  <c r="C108" i="25"/>
  <c r="B108" i="25"/>
  <c r="A108" i="25"/>
  <c r="C107" i="25"/>
  <c r="B107" i="25"/>
  <c r="A107" i="25"/>
  <c r="C106" i="25"/>
  <c r="B106" i="25"/>
  <c r="A106" i="25"/>
  <c r="C105" i="25"/>
  <c r="B105" i="25"/>
  <c r="A105" i="25"/>
  <c r="C104" i="25"/>
  <c r="B104" i="25"/>
  <c r="A104" i="25"/>
  <c r="C103" i="25"/>
  <c r="B103" i="25"/>
  <c r="A103" i="25"/>
  <c r="C102" i="25"/>
  <c r="B102" i="25"/>
  <c r="A102" i="25"/>
  <c r="C101" i="25"/>
  <c r="B101" i="25"/>
  <c r="A101" i="25"/>
  <c r="C100" i="25"/>
  <c r="B100" i="25"/>
  <c r="A100" i="25"/>
  <c r="C99" i="25"/>
  <c r="B99" i="25"/>
  <c r="A99" i="25"/>
  <c r="C98" i="25"/>
  <c r="B98" i="25"/>
  <c r="A98" i="25"/>
  <c r="C97" i="25"/>
  <c r="B97" i="25"/>
  <c r="A97" i="25"/>
  <c r="C96" i="25"/>
  <c r="B96" i="25"/>
  <c r="A96" i="25"/>
  <c r="C95" i="25"/>
  <c r="B95" i="25"/>
  <c r="A95" i="25"/>
  <c r="C94" i="25"/>
  <c r="B94" i="25"/>
  <c r="A94" i="25"/>
  <c r="C93" i="25"/>
  <c r="B93" i="25"/>
  <c r="A93" i="25"/>
  <c r="C92" i="25"/>
  <c r="B92" i="25"/>
  <c r="A92" i="25"/>
  <c r="C91" i="25"/>
  <c r="B91" i="25"/>
  <c r="A91" i="25"/>
  <c r="C90" i="25"/>
  <c r="B90" i="25"/>
  <c r="A90" i="25"/>
  <c r="C89" i="25"/>
  <c r="B89" i="25"/>
  <c r="A89" i="25"/>
  <c r="C88" i="25"/>
  <c r="B88" i="25"/>
  <c r="A88" i="25"/>
  <c r="C87" i="25"/>
  <c r="B87" i="25"/>
  <c r="A87" i="25"/>
  <c r="C86" i="25"/>
  <c r="B86" i="25"/>
  <c r="A86" i="25"/>
  <c r="C85" i="25"/>
  <c r="B85" i="25"/>
  <c r="A85" i="25"/>
  <c r="C84" i="25"/>
  <c r="B84" i="25"/>
  <c r="A84" i="25"/>
  <c r="C83" i="25"/>
  <c r="B83" i="25"/>
  <c r="A83" i="25"/>
  <c r="C82" i="25"/>
  <c r="B82" i="25"/>
  <c r="A82" i="25"/>
  <c r="C81" i="25"/>
  <c r="B81" i="25"/>
  <c r="A81" i="25"/>
  <c r="C80" i="25"/>
  <c r="B80" i="25"/>
  <c r="A80" i="25"/>
  <c r="C79" i="25"/>
  <c r="B79" i="25"/>
  <c r="A79" i="25"/>
  <c r="C78" i="25"/>
  <c r="B78" i="25"/>
  <c r="A78" i="25"/>
  <c r="C77" i="25"/>
  <c r="B77" i="25"/>
  <c r="A77" i="25"/>
  <c r="C76" i="25"/>
  <c r="B76" i="25"/>
  <c r="A76" i="25"/>
  <c r="C75" i="25"/>
  <c r="B75" i="25"/>
  <c r="A75" i="25"/>
  <c r="C74" i="25"/>
  <c r="B74" i="25"/>
  <c r="A74" i="25"/>
  <c r="C73" i="25"/>
  <c r="B73" i="25"/>
  <c r="A73" i="25"/>
  <c r="C68" i="25"/>
  <c r="B68" i="25"/>
  <c r="A68" i="25"/>
  <c r="C67" i="25"/>
  <c r="B67" i="25"/>
  <c r="A67" i="25"/>
  <c r="C66" i="25"/>
  <c r="B66" i="25"/>
  <c r="A66" i="25"/>
  <c r="C65" i="25"/>
  <c r="B65" i="25"/>
  <c r="A65" i="25"/>
  <c r="C64" i="25"/>
  <c r="B64" i="25"/>
  <c r="A64" i="25"/>
  <c r="C63" i="25"/>
  <c r="B63" i="25"/>
  <c r="A63" i="25"/>
  <c r="C62" i="25"/>
  <c r="B62" i="25"/>
  <c r="A62" i="25"/>
  <c r="C61" i="25"/>
  <c r="B61" i="25"/>
  <c r="A61" i="25"/>
  <c r="C60" i="25"/>
  <c r="B60" i="25"/>
  <c r="A60" i="25"/>
  <c r="C59" i="25"/>
  <c r="B59" i="25"/>
  <c r="A59" i="25"/>
  <c r="C58" i="25"/>
  <c r="B58" i="25"/>
  <c r="A58" i="25"/>
  <c r="C57" i="25"/>
  <c r="B57" i="25"/>
  <c r="A57" i="25"/>
  <c r="C56" i="25"/>
  <c r="B56" i="25"/>
  <c r="A56" i="25"/>
  <c r="C55" i="25"/>
  <c r="B55" i="25"/>
  <c r="A55" i="25"/>
  <c r="C54" i="25"/>
  <c r="B54" i="25"/>
  <c r="A54" i="25"/>
  <c r="C53" i="25"/>
  <c r="B53" i="25"/>
  <c r="A53" i="25"/>
  <c r="C52" i="25"/>
  <c r="B52" i="25"/>
  <c r="A52" i="25"/>
  <c r="C51" i="25"/>
  <c r="B51" i="25"/>
  <c r="A51" i="25"/>
  <c r="C50" i="25"/>
  <c r="B50" i="25"/>
  <c r="A50" i="25"/>
  <c r="C49" i="25"/>
  <c r="B49" i="25"/>
  <c r="A49" i="25"/>
  <c r="C48" i="25"/>
  <c r="B48" i="25"/>
  <c r="A48" i="25"/>
  <c r="C47" i="25"/>
  <c r="B47" i="25"/>
  <c r="A47" i="25"/>
  <c r="C46" i="25"/>
  <c r="B46" i="25"/>
  <c r="A46" i="25"/>
  <c r="C45" i="25"/>
  <c r="B45" i="25"/>
  <c r="A45" i="25"/>
  <c r="C44" i="25"/>
  <c r="B44" i="25"/>
  <c r="A44" i="25"/>
  <c r="C43" i="25"/>
  <c r="B43" i="25"/>
  <c r="A43" i="25"/>
  <c r="C42" i="25"/>
  <c r="B42" i="25"/>
  <c r="A42" i="25"/>
  <c r="C41" i="25"/>
  <c r="B41" i="25"/>
  <c r="A41" i="25"/>
  <c r="C40" i="25"/>
  <c r="B40" i="25"/>
  <c r="A40" i="25"/>
  <c r="C39" i="25"/>
  <c r="B39" i="25"/>
  <c r="A39" i="25"/>
  <c r="C38" i="25"/>
  <c r="B38" i="25"/>
  <c r="A38" i="25"/>
  <c r="C37" i="25"/>
  <c r="B37" i="25"/>
  <c r="A37" i="25"/>
  <c r="C36" i="25"/>
  <c r="B36" i="25"/>
  <c r="A36" i="25"/>
  <c r="C35" i="25"/>
  <c r="B35" i="25"/>
  <c r="A35" i="25"/>
  <c r="C34" i="25"/>
  <c r="B34" i="25"/>
  <c r="A34" i="25"/>
  <c r="C33" i="25"/>
  <c r="B33" i="25"/>
  <c r="A33" i="25"/>
  <c r="C32" i="25"/>
  <c r="B32" i="25"/>
  <c r="A32" i="25"/>
  <c r="C31" i="25"/>
  <c r="B31" i="25"/>
  <c r="A31" i="25"/>
  <c r="C30" i="25"/>
  <c r="B30" i="25"/>
  <c r="A30" i="25"/>
  <c r="C29" i="25"/>
  <c r="B29" i="25"/>
  <c r="A29" i="25"/>
  <c r="C28" i="25"/>
  <c r="B28" i="25"/>
  <c r="A28" i="25"/>
  <c r="C27" i="25"/>
  <c r="B27" i="25"/>
  <c r="A27" i="25"/>
  <c r="C26" i="25"/>
  <c r="B26" i="25"/>
  <c r="A26" i="25"/>
  <c r="C25" i="25"/>
  <c r="B25" i="25"/>
  <c r="A25" i="25"/>
  <c r="C24" i="25"/>
  <c r="B24" i="25"/>
  <c r="A24" i="25"/>
  <c r="C23" i="25"/>
  <c r="B23" i="25"/>
  <c r="A23" i="25"/>
  <c r="C22" i="25"/>
  <c r="B22" i="25"/>
  <c r="A22" i="25"/>
  <c r="C21" i="25"/>
  <c r="B21" i="25"/>
  <c r="A21" i="25"/>
  <c r="C20" i="25"/>
  <c r="B20" i="25"/>
  <c r="A20" i="25"/>
  <c r="C19" i="25"/>
  <c r="B19" i="25"/>
  <c r="A19" i="25"/>
  <c r="C18" i="25"/>
  <c r="B18" i="25"/>
  <c r="A18" i="25"/>
  <c r="C17" i="25"/>
  <c r="B17" i="25"/>
  <c r="A17" i="25"/>
  <c r="C16" i="25"/>
  <c r="B16" i="25"/>
  <c r="A16" i="25"/>
  <c r="C15" i="25"/>
  <c r="B15" i="25"/>
  <c r="A15" i="25"/>
  <c r="C14" i="25"/>
  <c r="B14" i="25"/>
  <c r="A14" i="25"/>
  <c r="C13" i="25"/>
  <c r="B13" i="25"/>
  <c r="A13" i="25"/>
  <c r="C12" i="25"/>
  <c r="B12" i="25"/>
  <c r="A12" i="25"/>
  <c r="C11" i="25"/>
  <c r="B11" i="25"/>
  <c r="A11" i="25"/>
  <c r="C10" i="25"/>
  <c r="B10" i="25"/>
  <c r="A10" i="25"/>
  <c r="C9" i="25"/>
  <c r="B9" i="25"/>
  <c r="A9" i="25"/>
  <c r="C8" i="25"/>
  <c r="B8" i="25"/>
  <c r="A8" i="25"/>
  <c r="AJ55" i="37" l="1"/>
  <c r="I32" i="33"/>
  <c r="AQ54" i="37"/>
  <c r="M15" i="33"/>
  <c r="AM47" i="37"/>
  <c r="AM48" i="37"/>
  <c r="J21" i="33"/>
  <c r="L19" i="33"/>
  <c r="M16" i="33"/>
  <c r="L20" i="33"/>
  <c r="AQ52" i="37"/>
  <c r="D61" i="37"/>
  <c r="AO67" i="37"/>
  <c r="D73" i="37"/>
  <c r="D72" i="37"/>
  <c r="D14" i="37"/>
  <c r="D13" i="37"/>
  <c r="D39" i="37"/>
  <c r="D38" i="37"/>
  <c r="AQ48" i="37"/>
  <c r="B57" i="37" s="1"/>
  <c r="AM50" i="37"/>
  <c r="AP49" i="37"/>
  <c r="AP53" i="37"/>
  <c r="AN54" i="37"/>
  <c r="AO54" i="37" s="1"/>
  <c r="AQ53" i="37"/>
  <c r="AQ49" i="37"/>
  <c r="AM51" i="37"/>
  <c r="AP50" i="37"/>
  <c r="AP54" i="37"/>
  <c r="AM52" i="37"/>
  <c r="AP47" i="37"/>
  <c r="AP51" i="37"/>
  <c r="AN52" i="37"/>
  <c r="AO52" i="37" s="1"/>
  <c r="H55" i="37"/>
  <c r="H4" i="34"/>
  <c r="C9" i="34"/>
  <c r="C11" i="34"/>
  <c r="C16" i="34"/>
  <c r="C10" i="34"/>
  <c r="J33" i="33"/>
  <c r="L13" i="33"/>
  <c r="L14" i="33"/>
  <c r="L15" i="33"/>
  <c r="L16" i="33"/>
  <c r="L17" i="33"/>
  <c r="Q19" i="33"/>
  <c r="E22" i="33" s="1"/>
  <c r="Q20" i="33"/>
  <c r="M38" i="33"/>
  <c r="M39" i="33"/>
  <c r="M40" i="33"/>
  <c r="M41" i="33"/>
  <c r="M42" i="33"/>
  <c r="M17" i="33"/>
  <c r="Q33" i="33"/>
  <c r="N38" i="33"/>
  <c r="N39" i="33"/>
  <c r="N40" i="33"/>
  <c r="N41" i="33"/>
  <c r="N42" i="33"/>
  <c r="H9" i="33"/>
  <c r="N13" i="33"/>
  <c r="N14" i="33"/>
  <c r="N15" i="33"/>
  <c r="N16" i="33"/>
  <c r="N17" i="33"/>
  <c r="I19" i="33"/>
  <c r="I20" i="33"/>
  <c r="G21" i="33"/>
  <c r="L26" i="33"/>
  <c r="L27" i="33"/>
  <c r="L28" i="33"/>
  <c r="L29" i="33"/>
  <c r="L30" i="33"/>
  <c r="L31" i="33"/>
  <c r="L32" i="33"/>
  <c r="M26" i="33"/>
  <c r="M27" i="33"/>
  <c r="M28" i="33"/>
  <c r="M29" i="33"/>
  <c r="M30" i="33"/>
  <c r="M31" i="33"/>
  <c r="M32" i="33"/>
  <c r="K19" i="33"/>
  <c r="K20" i="33"/>
  <c r="N26" i="33"/>
  <c r="N27" i="33"/>
  <c r="N28" i="33"/>
  <c r="N29" i="33"/>
  <c r="N30" i="33"/>
  <c r="N31" i="33"/>
  <c r="N32" i="33"/>
  <c r="I38" i="33"/>
  <c r="I39" i="33"/>
  <c r="I40" i="33"/>
  <c r="I41" i="33"/>
  <c r="I42" i="33"/>
  <c r="I13" i="33"/>
  <c r="I14" i="33"/>
  <c r="I15" i="33"/>
  <c r="I16" i="33"/>
  <c r="I17" i="33"/>
  <c r="I18" i="33"/>
  <c r="M19" i="33"/>
  <c r="M20" i="33"/>
  <c r="K38" i="33"/>
  <c r="K39" i="33"/>
  <c r="K40" i="33"/>
  <c r="K41" i="33"/>
  <c r="K42" i="33"/>
  <c r="Q43" i="33"/>
  <c r="K13" i="33"/>
  <c r="K14" i="33"/>
  <c r="K15" i="33"/>
  <c r="K16" i="33"/>
  <c r="K17" i="33"/>
  <c r="K18" i="33"/>
  <c r="N19" i="33"/>
  <c r="N20" i="33"/>
  <c r="I26" i="33"/>
  <c r="I27" i="33"/>
  <c r="I28" i="33"/>
  <c r="I29" i="33"/>
  <c r="I30" i="33"/>
  <c r="I31" i="33"/>
  <c r="L38" i="33"/>
  <c r="L39" i="33"/>
  <c r="L40" i="33"/>
  <c r="L41" i="33"/>
  <c r="F19" i="29"/>
  <c r="H19" i="29"/>
  <c r="D37" i="29"/>
  <c r="I19" i="29"/>
  <c r="H37" i="29"/>
  <c r="AM55" i="37" l="1"/>
  <c r="AO55" i="37"/>
  <c r="AN55" i="37"/>
  <c r="K8" i="33"/>
  <c r="Q21" i="33"/>
  <c r="D40" i="37" l="1"/>
  <c r="M37" i="2"/>
  <c r="M38" i="2" l="1"/>
  <c r="AB48" i="3" l="1"/>
  <c r="Z48" i="3"/>
  <c r="AB47" i="3"/>
  <c r="AD38" i="3"/>
  <c r="AD39" i="3"/>
  <c r="AD40" i="3"/>
  <c r="AD41" i="3"/>
  <c r="AD42" i="3"/>
  <c r="AD43" i="3"/>
  <c r="AD44" i="3"/>
  <c r="AD37" i="3"/>
  <c r="AD29" i="3"/>
  <c r="AD30" i="3"/>
  <c r="AD31" i="3"/>
  <c r="AD32" i="3"/>
  <c r="AD33" i="3"/>
  <c r="AD34" i="3"/>
  <c r="AD35" i="3"/>
  <c r="AD28" i="3"/>
  <c r="AB38" i="3"/>
  <c r="AB39" i="3"/>
  <c r="AB40" i="3"/>
  <c r="AB41" i="3"/>
  <c r="AB42" i="3"/>
  <c r="AB43" i="3"/>
  <c r="AB44" i="3"/>
  <c r="AB37" i="3"/>
  <c r="AB29" i="3"/>
  <c r="AB30" i="3"/>
  <c r="AB31" i="3"/>
  <c r="AB32" i="3"/>
  <c r="AB33" i="3"/>
  <c r="AB34" i="3"/>
  <c r="AB35" i="3"/>
  <c r="AA68" i="19"/>
  <c r="AA67" i="19"/>
  <c r="I67" i="19"/>
  <c r="I68" i="19"/>
  <c r="Q69" i="19"/>
  <c r="AJ69" i="19"/>
  <c r="AB46" i="3" l="1"/>
  <c r="Y50" i="3"/>
  <c r="Y45" i="3"/>
  <c r="X45" i="3"/>
  <c r="Y36" i="3"/>
  <c r="X36" i="3"/>
  <c r="Z26" i="3"/>
  <c r="AB26" i="3"/>
  <c r="AB25" i="3"/>
  <c r="AB24" i="3"/>
  <c r="AA38" i="3"/>
  <c r="AA39" i="3"/>
  <c r="AA40" i="3"/>
  <c r="AA41" i="3"/>
  <c r="AA42" i="3"/>
  <c r="AA43" i="3"/>
  <c r="AA44" i="3"/>
  <c r="AA37" i="3"/>
  <c r="AA29" i="3"/>
  <c r="AA30" i="3"/>
  <c r="AA31" i="3"/>
  <c r="AA32" i="3"/>
  <c r="AA33" i="3"/>
  <c r="AA34" i="3"/>
  <c r="AA35" i="3"/>
  <c r="AA28" i="3"/>
  <c r="AB28" i="3" s="1"/>
  <c r="Z44" i="3"/>
  <c r="Z38" i="3"/>
  <c r="Z39" i="3"/>
  <c r="Z40" i="3"/>
  <c r="Z41" i="3"/>
  <c r="Z42" i="3"/>
  <c r="Z43" i="3"/>
  <c r="Z37" i="3"/>
  <c r="Z29" i="3"/>
  <c r="Z30" i="3"/>
  <c r="Z31" i="3"/>
  <c r="Z32" i="3"/>
  <c r="Z33" i="3"/>
  <c r="Z34" i="3"/>
  <c r="Z35" i="3"/>
  <c r="Z28" i="3"/>
  <c r="X28" i="12"/>
  <c r="X29" i="12"/>
  <c r="X30" i="12"/>
  <c r="X31" i="12"/>
  <c r="X32" i="12"/>
  <c r="X33" i="12"/>
  <c r="X34" i="12"/>
  <c r="X27" i="12"/>
  <c r="K11" i="1"/>
  <c r="M46" i="2"/>
  <c r="M44" i="2"/>
  <c r="M42" i="2"/>
  <c r="M30" i="2"/>
  <c r="M32" i="2" s="1"/>
  <c r="M29" i="2"/>
  <c r="M28" i="2"/>
  <c r="M25" i="2"/>
  <c r="M26" i="2"/>
  <c r="M31" i="2" l="1"/>
  <c r="M41" i="2"/>
  <c r="M47" i="2" s="1"/>
  <c r="N47" i="2" s="1"/>
  <c r="M45" i="2"/>
  <c r="M48" i="2" s="1"/>
  <c r="K9" i="1"/>
  <c r="I39" i="23" l="1"/>
  <c r="I40" i="23" s="1"/>
  <c r="I38" i="23"/>
  <c r="I37" i="23"/>
  <c r="I23" i="23"/>
  <c r="I24" i="23" s="1"/>
  <c r="I13" i="23"/>
  <c r="I14" i="23" s="1"/>
  <c r="AD27" i="12"/>
  <c r="AG44" i="3"/>
  <c r="AI44" i="3" s="1"/>
  <c r="AG43" i="3"/>
  <c r="AI43" i="3" s="1"/>
  <c r="AG42" i="3"/>
  <c r="AI42" i="3" s="1"/>
  <c r="AG41" i="3"/>
  <c r="AI41" i="3" s="1"/>
  <c r="AG40" i="3"/>
  <c r="AI40" i="3" s="1"/>
  <c r="AG39" i="3"/>
  <c r="AI39" i="3" s="1"/>
  <c r="AG38" i="3"/>
  <c r="AI38" i="3" s="1"/>
  <c r="AG37" i="3"/>
  <c r="AI37" i="3" s="1"/>
  <c r="AG35" i="3"/>
  <c r="AI35" i="3" s="1"/>
  <c r="AG34" i="3"/>
  <c r="AI34" i="3" s="1"/>
  <c r="AG33" i="3"/>
  <c r="AI33" i="3" s="1"/>
  <c r="AG32" i="3"/>
  <c r="AI32" i="3" s="1"/>
  <c r="AG31" i="3"/>
  <c r="AI31" i="3" s="1"/>
  <c r="AG30" i="3"/>
  <c r="AI30" i="3" s="1"/>
  <c r="AG29" i="3"/>
  <c r="AI29" i="3" s="1"/>
  <c r="AG28" i="3"/>
  <c r="AI28" i="3" s="1"/>
  <c r="AH34" i="12"/>
  <c r="AH33" i="12"/>
  <c r="AH32" i="12"/>
  <c r="AH31" i="12"/>
  <c r="AH30" i="12"/>
  <c r="AH29" i="12"/>
  <c r="AH28" i="12"/>
  <c r="AA34" i="12"/>
  <c r="AN34" i="12"/>
  <c r="AP34" i="12" s="1"/>
  <c r="AQ34" i="12" s="1"/>
  <c r="AA33" i="12"/>
  <c r="AN33" i="12"/>
  <c r="AP33" i="12" s="1"/>
  <c r="AA32" i="12"/>
  <c r="AN32" i="12"/>
  <c r="AP32" i="12" s="1"/>
  <c r="AQ32" i="12" s="1"/>
  <c r="AA31" i="12"/>
  <c r="AN31" i="12"/>
  <c r="AP31" i="12" s="1"/>
  <c r="AA30" i="12"/>
  <c r="AN30" i="12"/>
  <c r="AP30" i="12" s="1"/>
  <c r="AQ30" i="12" s="1"/>
  <c r="AA29" i="12"/>
  <c r="AN29" i="12"/>
  <c r="AP29" i="12" s="1"/>
  <c r="AA28" i="12"/>
  <c r="AN28" i="12"/>
  <c r="AP28" i="12" s="1"/>
  <c r="AQ28" i="12" s="1"/>
  <c r="AD32" i="12" l="1"/>
  <c r="AD28" i="12"/>
  <c r="AQ29" i="12"/>
  <c r="AD29" i="12" s="1"/>
  <c r="AQ31" i="12"/>
  <c r="AD31" i="12" s="1"/>
  <c r="AQ33" i="12"/>
  <c r="AD33" i="12" s="1"/>
  <c r="AD30" i="12"/>
  <c r="AD3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McTaggart</author>
    <author>Graham Wright</author>
  </authors>
  <commentList>
    <comment ref="K11" authorId="0" shapeId="0" xr:uid="{00000000-0006-0000-0000-000001000000}">
      <text>
        <r>
          <rPr>
            <b/>
            <sz val="9"/>
            <color indexed="81"/>
            <rFont val="Tahoma"/>
            <family val="2"/>
          </rPr>
          <t>AUTO-CALCULATED</t>
        </r>
      </text>
    </comment>
    <comment ref="C18" authorId="1" shapeId="0" xr:uid="{2F441429-5F6F-D040-BF3A-A06FFDB6BEEE}">
      <text>
        <r>
          <rPr>
            <b/>
            <sz val="10"/>
            <color rgb="FF000000"/>
            <rFont val="Tahoma"/>
            <family val="2"/>
          </rPr>
          <t>In case of mixed-use projects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author>
    <author>Chris McTaggart</author>
    <author>Lisa</author>
  </authors>
  <commentList>
    <comment ref="D9" authorId="0" shapeId="0" xr:uid="{00000000-0006-0000-0100-000001000000}">
      <text>
        <r>
          <rPr>
            <b/>
            <sz val="9"/>
            <color indexed="81"/>
            <rFont val="Calibri"/>
            <family val="2"/>
          </rPr>
          <t xml:space="preserve">These photos are used to help verify the site shading reduction factors used by the CPHC
</t>
        </r>
      </text>
    </comment>
    <comment ref="D11" authorId="0" shapeId="0" xr:uid="{00000000-0006-0000-0100-000002000000}">
      <text>
        <r>
          <rPr>
            <b/>
            <sz val="9"/>
            <color indexed="81"/>
            <rFont val="Calibri"/>
            <family val="2"/>
          </rPr>
          <t>Follow RESNET Infrared inspection guidelines for minimum delta-T. Images should include walls, insulated ceilings, slabs, windows. Use picture in picture if camera has the capability. Enter "n/a" if conditions do not allow the minimum delta-T</t>
        </r>
      </text>
    </comment>
    <comment ref="D18" authorId="1" shapeId="0" xr:uid="{00000000-0006-0000-0100-000003000000}">
      <text>
        <r>
          <rPr>
            <sz val="9"/>
            <color indexed="81"/>
            <rFont val="Calibri"/>
            <family val="2"/>
            <scheme val="minor"/>
          </rPr>
          <t>Please see RESNET Standards Appendix A for information on insulation Grading</t>
        </r>
      </text>
    </comment>
    <comment ref="D34" authorId="0" shapeId="0" xr:uid="{00000000-0006-0000-0100-000004000000}">
      <text>
        <r>
          <rPr>
            <b/>
            <sz val="9"/>
            <color rgb="FF000000"/>
            <rFont val="Calibri"/>
            <family val="2"/>
          </rPr>
          <t xml:space="preserve">Automated multi-point testing using RESNET testing protocol, set up building according to RESNET standard, Chapter 8. See PHIUS+ Certification Packet, section 3.3.
</t>
        </r>
        <r>
          <rPr>
            <b/>
            <sz val="9"/>
            <color rgb="FF000000"/>
            <rFont val="Calibri"/>
            <family val="2"/>
          </rPr>
          <t xml:space="preserve">
</t>
        </r>
        <r>
          <rPr>
            <b/>
            <sz val="9"/>
            <color rgb="FF000000"/>
            <rFont val="Calibri"/>
            <family val="2"/>
          </rPr>
          <t>Include testing report/s in documentation folder</t>
        </r>
      </text>
    </comment>
    <comment ref="D35" authorId="2" shapeId="0" xr:uid="{52879FD7-9267-43C3-B169-D38B3F7A0C34}">
      <text>
        <r>
          <rPr>
            <sz val="9"/>
            <color indexed="81"/>
            <rFont val="Tahoma"/>
            <family val="2"/>
          </rPr>
          <t>Non-combustible in this sense is construction that is not subject to mold and rot. This would mean no wood-based framing members or sheet goods, and no wood-based or paper-based insulation.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C10" authorId="0" shapeId="0" xr:uid="{00000000-0006-0000-0300-000001000000}">
      <text>
        <r>
          <rPr>
            <b/>
            <sz val="9"/>
            <color indexed="81"/>
            <rFont val="Calibri"/>
            <family val="2"/>
          </rPr>
          <t xml:space="preserve">examples of contamination sources include: plumbing vents, exhaust vents, combustion exhaust, vehicle exhaust. Exception: ventilation air inlets in the wall at least 3 ft. from clothes dryer exhaust or contamination sources exiting through the roof.
</t>
        </r>
      </text>
    </comment>
    <comment ref="AB23" authorId="0" shapeId="0" xr:uid="{00000000-0006-0000-0300-000002000000}">
      <text>
        <r>
          <rPr>
            <b/>
            <sz val="9"/>
            <color indexed="81"/>
            <rFont val="Calibri"/>
            <family val="2"/>
          </rPr>
          <t xml:space="preserve">Must be +/- 20% of design value or 5cfm, whichever is greater
</t>
        </r>
      </text>
    </comment>
    <comment ref="AD23" authorId="0" shapeId="0" xr:uid="{00000000-0006-0000-0300-000003000000}">
      <text>
        <r>
          <rPr>
            <b/>
            <sz val="9"/>
            <color indexed="81"/>
            <rFont val="Calibri"/>
            <family val="2"/>
          </rPr>
          <t>Must be no more than 3Pa pressure difference</t>
        </r>
        <r>
          <rPr>
            <sz val="9"/>
            <color indexed="81"/>
            <rFont val="Calibri"/>
            <family val="2"/>
          </rPr>
          <t xml:space="preserve">
</t>
        </r>
      </text>
    </comment>
    <comment ref="X24" authorId="0" shapeId="0" xr:uid="{00000000-0006-0000-0300-000004000000}">
      <text>
        <r>
          <rPr>
            <b/>
            <sz val="9"/>
            <color indexed="81"/>
            <rFont val="Calibri"/>
            <family val="2"/>
          </rPr>
          <t>This is typically the "Design Air Flow Rate" from cell G21 of the PHPP Ventilation sheet or from  WUFI Passive</t>
        </r>
        <r>
          <rPr>
            <sz val="9"/>
            <color indexed="81"/>
            <rFont val="Calibri"/>
            <family val="2"/>
          </rPr>
          <t xml:space="preserve">
</t>
        </r>
      </text>
    </comment>
    <comment ref="X25" authorId="0" shapeId="0" xr:uid="{00000000-0006-0000-0300-000005000000}">
      <text>
        <r>
          <rPr>
            <b/>
            <sz val="9"/>
            <color indexed="81"/>
            <rFont val="Calibri"/>
            <family val="2"/>
          </rPr>
          <t>This is typically the "Design Air Flow Rate" from cell G21 of the PHPP Ventilation sheet or from WUFI Passive</t>
        </r>
        <r>
          <rPr>
            <sz val="9"/>
            <color indexed="81"/>
            <rFont val="Calibri"/>
            <family val="2"/>
          </rPr>
          <t xml:space="preserve">
</t>
        </r>
      </text>
    </comment>
    <comment ref="C28" authorId="0" shapeId="0" xr:uid="{00000000-0006-0000-0300-000006000000}">
      <text>
        <r>
          <rPr>
            <sz val="9"/>
            <color indexed="81"/>
            <rFont val="Calibri"/>
            <family val="2"/>
          </rPr>
          <t xml:space="preserve">Enter additional rows as needed
</t>
        </r>
      </text>
    </comment>
    <comment ref="C37" authorId="0" shapeId="0" xr:uid="{00000000-0006-0000-0300-000007000000}">
      <text>
        <r>
          <rPr>
            <b/>
            <sz val="9"/>
            <color indexed="81"/>
            <rFont val="Calibri"/>
            <family val="2"/>
          </rPr>
          <t>Enter additional rows as needed</t>
        </r>
      </text>
    </comment>
    <comment ref="C54" authorId="0" shapeId="0" xr:uid="{00000000-0006-0000-0300-000008000000}">
      <text>
        <r>
          <rPr>
            <b/>
            <sz val="9"/>
            <color indexed="81"/>
            <rFont val="Calibri"/>
            <family val="2"/>
          </rPr>
          <t>This is to ensure the defrost system does not operate unnecessarily. This should be a simple check. If the ERV/HRV calls for defrost below 25F, then the project team should be able to show the Rater that the system is set up correctly.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AD26" authorId="0" shapeId="0" xr:uid="{00000000-0006-0000-0400-000001000000}">
      <text>
        <r>
          <rPr>
            <sz val="9"/>
            <color indexed="81"/>
            <rFont val="Calibri"/>
            <family val="2"/>
          </rPr>
          <t xml:space="preserve">TOTAL SYSTEM AIRFLOW: +/- 15% of design value
BRANCHES: +/- 20% or 25cfm of the design value, whichever is greater
</t>
        </r>
      </text>
    </comment>
    <comment ref="AF26" authorId="0" shapeId="0" xr:uid="{00000000-0006-0000-0400-000002000000}">
      <text>
        <r>
          <rPr>
            <b/>
            <sz val="9"/>
            <color indexed="81"/>
            <rFont val="Calibri"/>
            <family val="2"/>
          </rPr>
          <t>For rooms with doors and supply airflow</t>
        </r>
      </text>
    </comment>
    <comment ref="AH26" authorId="0" shapeId="0" xr:uid="{00000000-0006-0000-0400-000003000000}">
      <text>
        <r>
          <rPr>
            <b/>
            <sz val="9"/>
            <color indexed="81"/>
            <rFont val="Calibri"/>
            <family val="2"/>
          </rPr>
          <t>Must be no more than 3Pa pressure difference</t>
        </r>
        <r>
          <rPr>
            <sz val="9"/>
            <color indexed="81"/>
            <rFont val="Calibri"/>
            <family val="2"/>
          </rPr>
          <t xml:space="preserve">
</t>
        </r>
      </text>
    </comment>
    <comment ref="D27" authorId="0" shapeId="0" xr:uid="{00000000-0006-0000-0400-000004000000}">
      <text>
        <r>
          <rPr>
            <b/>
            <sz val="9"/>
            <color indexed="81"/>
            <rFont val="Calibri"/>
            <family val="2"/>
          </rPr>
          <t>insert additional rows as needed</t>
        </r>
        <r>
          <rPr>
            <sz val="9"/>
            <color indexed="81"/>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Siebers, Molly</author>
  </authors>
  <commentList>
    <comment ref="G5" authorId="0" shapeId="0" xr:uid="{6AD4F018-543F-D24A-AD6D-56C62D449DDD}">
      <text>
        <r>
          <rPr>
            <sz val="9"/>
            <color indexed="81"/>
            <rFont val="Tahoma"/>
            <family val="2"/>
          </rPr>
          <t xml:space="preserve">Measured in accordance with ANSI/RESNET/ICC 380. Typically floor to floor, and in the case of 2-story units, finished floor of the 1st floor to the underside of the floor of the unit above it. 
The dwelling unit height shall extend from the finished floor to the bottom side of the floor decking above the subject Dwelling Unit for non-top floor level Dwelling Units and to the exterior enclosure air barrier for top floor level Dwelling Units.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Razi, Thalib</author>
  </authors>
  <commentList>
    <comment ref="N16" authorId="0" shapeId="0" xr:uid="{2EB8B403-F612-BF4E-AC4E-5D013760C2FB}">
      <text>
        <r>
          <rPr>
            <sz val="9"/>
            <color indexed="81"/>
            <rFont val="Tahoma"/>
            <family val="2"/>
          </rPr>
          <t>Interpolated from Table A2.2.3.</t>
        </r>
      </text>
    </comment>
    <comment ref="Y16" authorId="0" shapeId="0" xr:uid="{B8C27C11-741D-054B-9E96-83A2CB378636}">
      <text>
        <r>
          <rPr>
            <sz val="9"/>
            <color indexed="81"/>
            <rFont val="Tahoma"/>
            <family val="2"/>
          </rPr>
          <t>Interpolated from Table A2.2.3.</t>
        </r>
      </text>
    </comment>
    <comment ref="N17" authorId="0" shapeId="0" xr:uid="{C2960195-9507-CD49-8ED7-1012E29F1309}">
      <text>
        <r>
          <rPr>
            <sz val="9"/>
            <color indexed="81"/>
            <rFont val="Tahoma"/>
            <family val="2"/>
          </rPr>
          <t>Values interpolated from "Filled Cavity with Spacer Blocks" in Table A2.3.3 which implies a base roof of two insulations plus additional cont. insulation. Perhaps the latter two terms of insulation could be combined into one cont. value.</t>
        </r>
      </text>
    </comment>
    <comment ref="Y17" authorId="0" shapeId="0" xr:uid="{63060621-CC47-F44E-8F46-C575102BD0D6}">
      <text>
        <r>
          <rPr>
            <sz val="9"/>
            <color indexed="81"/>
            <rFont val="Tahoma"/>
            <family val="2"/>
          </rPr>
          <t>Values interpolated from "Filled Cavity with Spacer Blocks" in Table A2.3.3 which implies a base roof of two insulations plus additional cont. insulation. Perhaps the latter two terms of insulation could be combined into one cont. value.</t>
        </r>
      </text>
    </comment>
    <comment ref="N23" authorId="0" shapeId="0" xr:uid="{2EF968FB-A257-A547-8AF9-3C64C582C1BC}">
      <text>
        <r>
          <rPr>
            <sz val="9"/>
            <color indexed="81"/>
            <rFont val="Tahoma"/>
            <family val="2"/>
          </rPr>
          <t>Table A3.1-1, 1 in. metal clips at 24" OC horiz., medium weight.</t>
        </r>
      </text>
    </comment>
    <comment ref="Y23" authorId="0" shapeId="0" xr:uid="{4A017285-1399-BE4F-B1A9-42E073AA4C8A}">
      <text>
        <r>
          <rPr>
            <sz val="9"/>
            <color indexed="81"/>
            <rFont val="Tahoma"/>
            <family val="2"/>
          </rPr>
          <t>Table A3.1-1, 1 in. metal clips at 24" OC horiz., medium weight.</t>
        </r>
      </text>
    </comment>
    <comment ref="N24" authorId="0" shapeId="0" xr:uid="{BBE25340-CF22-124B-BF7C-3488A283C989}">
      <text>
        <r>
          <rPr>
            <sz val="9"/>
            <color indexed="81"/>
            <rFont val="Tahoma"/>
            <family val="2"/>
          </rPr>
          <t>Table A3.2.3, kept original cavity insulation value and added the necessary continuous; other combinations are available.</t>
        </r>
      </text>
    </comment>
    <comment ref="Y24" authorId="0" shapeId="0" xr:uid="{4DD65DEB-78FC-864A-A31B-2E28254E7540}">
      <text>
        <r>
          <rPr>
            <sz val="9"/>
            <color indexed="81"/>
            <rFont val="Tahoma"/>
            <family val="2"/>
          </rPr>
          <t>Table A3.2.3, kept original cavity insulation value and added the necessary continuous; other combinations are available.</t>
        </r>
      </text>
    </comment>
    <comment ref="N25" authorId="0" shapeId="0" xr:uid="{8F253512-05E8-5B4B-921F-ED29E8C3B959}">
      <text>
        <r>
          <rPr>
            <sz val="9"/>
            <color indexed="81"/>
            <rFont val="Tahoma"/>
            <family val="2"/>
          </rPr>
          <t xml:space="preserve">Table A3.3.3.1, 16 OC, 3.5 in depth / R-13 AND 6.0 in depth / R-19 </t>
        </r>
      </text>
    </comment>
    <comment ref="Y25" authorId="0" shapeId="0" xr:uid="{3F8B0160-78DD-F44D-93C4-1C5A340EE043}">
      <text>
        <r>
          <rPr>
            <sz val="9"/>
            <color indexed="81"/>
            <rFont val="Tahoma"/>
            <family val="2"/>
          </rPr>
          <t xml:space="preserve">Table A3.3.3.1, 16 OC, 3.5 in depth / R-13 AND 6.0 in depth / R-19 </t>
        </r>
      </text>
    </comment>
    <comment ref="N36" authorId="0" shapeId="0" xr:uid="{70CF8894-62DE-4046-BA30-78318B4604A2}">
      <text>
        <r>
          <rPr>
            <sz val="9"/>
            <color indexed="81"/>
            <rFont val="Tahoma"/>
            <family val="2"/>
          </rPr>
          <t>Table A5.2.3.1, concrete with rigid foam continuous insulation.</t>
        </r>
      </text>
    </comment>
    <comment ref="Y36" authorId="0" shapeId="0" xr:uid="{8BB682D9-4322-6442-8D4C-DA8826CB56C5}">
      <text>
        <r>
          <rPr>
            <sz val="9"/>
            <color indexed="81"/>
            <rFont val="Tahoma"/>
            <family val="2"/>
          </rPr>
          <t>Table A5.2.3.1, concrete with rigid foam continuous insulation.</t>
        </r>
      </text>
    </comment>
  </commentList>
</comments>
</file>

<file path=xl/sharedStrings.xml><?xml version="1.0" encoding="utf-8"?>
<sst xmlns="http://schemas.openxmlformats.org/spreadsheetml/2006/main" count="5366" uniqueCount="1949">
  <si>
    <t>CFM50 test result - depressurization</t>
  </si>
  <si>
    <t>ACH50 - depressurization</t>
  </si>
  <si>
    <t>CFM50 test result - pressurization</t>
  </si>
  <si>
    <t>ACH50 - pressurization</t>
  </si>
  <si>
    <t>Average CFM50</t>
  </si>
  <si>
    <t>Item</t>
  </si>
  <si>
    <t>#</t>
  </si>
  <si>
    <t xml:space="preserve">Drawings check - describe any significant variations in construction from the construction drawings and specifications (insulation, window sizes, window performance, fixed shading etc.) </t>
  </si>
  <si>
    <t>% +/- Design</t>
  </si>
  <si>
    <t>cfm +/- Design</t>
  </si>
  <si>
    <t>Room pressure difference</t>
  </si>
  <si>
    <t>enter supply branch name here</t>
  </si>
  <si>
    <t>Total of supply branches (for reference only)</t>
  </si>
  <si>
    <t>Total of exhaust branches (for reference only)</t>
  </si>
  <si>
    <t>enter exhaust branch name here</t>
  </si>
  <si>
    <t>Design (cfm)</t>
  </si>
  <si>
    <t>"Design Airflow Rate - Maximum" supply at HRV/ERV</t>
  </si>
  <si>
    <t>"Design Airflow Rate - Maximum" exhaust at HRV/ERV</t>
  </si>
  <si>
    <t>"Design Airflow Rate - Typical 24/7 operation" supply at HRV/ERV</t>
  </si>
  <si>
    <t>"Design Airflow Rate - Typical 24/7 operation" exhaust at HRV/ERV</t>
  </si>
  <si>
    <t>Watt/cfm for final input into consultant's energy model</t>
  </si>
  <si>
    <t>All ventilation air inlets located at least 10' ("stretched-string distance") from known contamination sources</t>
  </si>
  <si>
    <t xml:space="preserve">Outside air passes through a minimum MERV 8 filter prior to distribution </t>
  </si>
  <si>
    <t>Photos of equipment (including model numbers) are included in documentation folder</t>
  </si>
  <si>
    <t>Duct installation reasonably matches design layout</t>
  </si>
  <si>
    <t>Building cavities not used as supply or return ducts</t>
  </si>
  <si>
    <t>Fan - air flow is produced when thermostat is set to "fan on"</t>
  </si>
  <si>
    <t>Cooling air flow is produced when thermostat is set to "cool"</t>
  </si>
  <si>
    <t>Heated air flow is produced when thermostat is set to "heat"</t>
  </si>
  <si>
    <t>Filter access panel includes a gasket or comparable sealing mechanism</t>
  </si>
  <si>
    <t>+/- cfm Design</t>
  </si>
  <si>
    <t>OK?</t>
  </si>
  <si>
    <t>2.10</t>
  </si>
  <si>
    <t>A</t>
  </si>
  <si>
    <t>B</t>
  </si>
  <si>
    <t>C</t>
  </si>
  <si>
    <t>D</t>
  </si>
  <si>
    <t>Ventilation - Auxiliary Systems</t>
  </si>
  <si>
    <t>Project team has provided DHW drawings with lengths, diameter and insulation specs</t>
  </si>
  <si>
    <t>Rater Verified</t>
  </si>
  <si>
    <t>N/A</t>
  </si>
  <si>
    <t>Controls + Electrical Measurements</t>
  </si>
  <si>
    <t>Rater review of duct installation:</t>
  </si>
  <si>
    <t>Project team has demonstrated the defrost control logic is set up properly</t>
  </si>
  <si>
    <t>If installed, enter type of ERV/HRV defrost - electric, hot water loop from DHW tank, ground loop</t>
  </si>
  <si>
    <t>Is there a ground loop ("brine loop") or earth tube installed?</t>
  </si>
  <si>
    <t>Building Envelope</t>
  </si>
  <si>
    <t>Ventilation</t>
  </si>
  <si>
    <t>IAQ</t>
  </si>
  <si>
    <t>Corrosion-resistant drain pan, properly sloped to drainage system is included with each HVAC component that produces condensate</t>
  </si>
  <si>
    <t>City</t>
  </si>
  <si>
    <t>HVAC Contractor Verified</t>
  </si>
  <si>
    <t>Zip Code</t>
  </si>
  <si>
    <t>Installed woodstoves have a combustion air inlet connected to the firebox</t>
  </si>
  <si>
    <t>Enter loop length and approximate depth</t>
  </si>
  <si>
    <t>Measure loop pump power</t>
  </si>
  <si>
    <t xml:space="preserve"> Project team has demonstrated the ground loop / earth tube control logic is set up properly</t>
  </si>
  <si>
    <t>Heat + Cool</t>
  </si>
  <si>
    <t>!</t>
  </si>
  <si>
    <t xml:space="preserve">Each checklist includes a column off to the right that is designed to assist Passive House designers and Certified Passive House Consultants. This area calls to attention in red with an exclamation mark ! particular requirements that must be considered during the design phase of a project. </t>
  </si>
  <si>
    <t>Data entry cells (for the Rater, builder, HVAC contractor, or designer are in green. Calculation cells are in purple. Do not change the calculation cells!</t>
  </si>
  <si>
    <t>Heating/cooling equipment</t>
  </si>
  <si>
    <t>"Central" or "Per Apartment" distribution, ducted or ductless?</t>
  </si>
  <si>
    <t>TOTAL System Airflow</t>
  </si>
  <si>
    <t>Heating/Cooling Distribution - for ducted systems only</t>
  </si>
  <si>
    <t>Duct layout drawing, total system design airflow and branch design airflows are included in documentation folder</t>
  </si>
  <si>
    <t>All return air passes through a minimum MERV 8 filter</t>
  </si>
  <si>
    <t>Pipe layout drawing + schedule showing pipe sizes and insulation is included in documentation folder</t>
  </si>
  <si>
    <t>Pipe installation reasonably matches design layout</t>
  </si>
  <si>
    <t>Pump/s Manufacturer + Model #</t>
  </si>
  <si>
    <t>Is pump single speed or variable?</t>
  </si>
  <si>
    <t>Measure pump power input</t>
  </si>
  <si>
    <t>Pipe insulation matches design specs</t>
  </si>
  <si>
    <t>TBD</t>
  </si>
  <si>
    <t>3.10</t>
  </si>
  <si>
    <t>4.10</t>
  </si>
  <si>
    <t>DHW + Lights</t>
  </si>
  <si>
    <t>Appliances</t>
  </si>
  <si>
    <t>Heating/Cooling Distribution - Hydronics</t>
  </si>
  <si>
    <t>Design hydronic loop flow rate (GPM)</t>
  </si>
  <si>
    <t>Measured hydronic loop flow rate (GPM)</t>
  </si>
  <si>
    <t>AHRI certificate and/or manufacturer's detailed specs for heating/cooling equipment are included in documentation folder</t>
  </si>
  <si>
    <t>Lighting</t>
  </si>
  <si>
    <t>Domestic Hot Water (DHW)</t>
  </si>
  <si>
    <t>E</t>
  </si>
  <si>
    <t>F</t>
  </si>
  <si>
    <t>G</t>
  </si>
  <si>
    <t>Project Name</t>
  </si>
  <si>
    <t>Street Address</t>
  </si>
  <si>
    <t>State/Province</t>
  </si>
  <si>
    <t>Total # Buildings</t>
  </si>
  <si>
    <t>Total # Stories per Building</t>
  </si>
  <si>
    <t>Yes</t>
  </si>
  <si>
    <t>No</t>
  </si>
  <si>
    <t>Project Permit Date</t>
  </si>
  <si>
    <t>AL Alabama</t>
  </si>
  <si>
    <t>AK Alaska</t>
  </si>
  <si>
    <t>AS American Samoa</t>
  </si>
  <si>
    <t>AZ Arizona</t>
  </si>
  <si>
    <t>AR Arkansas</t>
  </si>
  <si>
    <t>CA California</t>
  </si>
  <si>
    <t>CT Connecticut</t>
  </si>
  <si>
    <t>DE Delaware</t>
  </si>
  <si>
    <t>DC District of Columbia</t>
  </si>
  <si>
    <t>FM Fed. States of Micronesia</t>
  </si>
  <si>
    <t>FL Florida</t>
  </si>
  <si>
    <t>GU Guam</t>
  </si>
  <si>
    <t>HI Hawaii</t>
  </si>
  <si>
    <t>IN Indiana</t>
  </si>
  <si>
    <t>IA Iowa</t>
  </si>
  <si>
    <t>KS Kansas</t>
  </si>
  <si>
    <t>KY Kentucky</t>
  </si>
  <si>
    <t>LA Louisiana</t>
  </si>
  <si>
    <t>ME Maine</t>
  </si>
  <si>
    <t>MH Marshall Islands</t>
  </si>
  <si>
    <t>MA Massachusetts</t>
  </si>
  <si>
    <t>MI Michigan</t>
  </si>
  <si>
    <t>MN Minnesota</t>
  </si>
  <si>
    <t>MS Mississippi</t>
  </si>
  <si>
    <t>MO Missouri</t>
  </si>
  <si>
    <t>MT Montana</t>
  </si>
  <si>
    <t>NE Nebraska</t>
  </si>
  <si>
    <t>NV Nevada</t>
  </si>
  <si>
    <t>NH New Hampshire</t>
  </si>
  <si>
    <t>NJ New Jersey</t>
  </si>
  <si>
    <t>NM New Mexico</t>
  </si>
  <si>
    <t>NY New York</t>
  </si>
  <si>
    <t>NC North Carolina</t>
  </si>
  <si>
    <t>ND North Dakota</t>
  </si>
  <si>
    <t>MP Northern Mariana Is.</t>
  </si>
  <si>
    <t>OH Ohio</t>
  </si>
  <si>
    <t>OK Oklahoma</t>
  </si>
  <si>
    <t>OR Oregon</t>
  </si>
  <si>
    <t>PW Palau</t>
  </si>
  <si>
    <t>PA Pennsylvania</t>
  </si>
  <si>
    <t>PR Puerto Rico</t>
  </si>
  <si>
    <t>RI Rhode Island</t>
  </si>
  <si>
    <t>SC South Carolina</t>
  </si>
  <si>
    <t>SD South Dakota</t>
  </si>
  <si>
    <t>TN Tennessee</t>
  </si>
  <si>
    <t>TX Texas</t>
  </si>
  <si>
    <t>UT Utah</t>
  </si>
  <si>
    <t>VT Vermont</t>
  </si>
  <si>
    <t>VA Virginia</t>
  </si>
  <si>
    <t>VI Virgin Islands</t>
  </si>
  <si>
    <t>WA Washington</t>
  </si>
  <si>
    <t>WV West Virginia</t>
  </si>
  <si>
    <t>WI Wisconsin</t>
  </si>
  <si>
    <t>WY Wyoming</t>
  </si>
  <si>
    <t>AB Alberta</t>
  </si>
  <si>
    <t>BC British Columbia</t>
  </si>
  <si>
    <t>MB Manitoba</t>
  </si>
  <si>
    <t>NB New Brunswick</t>
  </si>
  <si>
    <t>NF Newfoundland</t>
  </si>
  <si>
    <t>NT Northwest Territories</t>
  </si>
  <si>
    <t>NS Nova Scotia</t>
  </si>
  <si>
    <t>ON Ontario</t>
  </si>
  <si>
    <t>PE Prince Edward Island</t>
  </si>
  <si>
    <t>QC Quebec</t>
  </si>
  <si>
    <t>SK Saskatchewan</t>
  </si>
  <si>
    <t>YT Yukon</t>
  </si>
  <si>
    <t>Country</t>
  </si>
  <si>
    <t xml:space="preserve">United States </t>
  </si>
  <si>
    <t xml:space="preserve">Canada </t>
  </si>
  <si>
    <t xml:space="preserve">Mexico </t>
  </si>
  <si>
    <t xml:space="preserve">Afghanistan </t>
  </si>
  <si>
    <t xml:space="preserve">Albania </t>
  </si>
  <si>
    <t xml:space="preserve">Andorra </t>
  </si>
  <si>
    <t xml:space="preserve">Angola </t>
  </si>
  <si>
    <t xml:space="preserve">Anguilla </t>
  </si>
  <si>
    <t xml:space="preserve">Antigua &amp; Barbuda </t>
  </si>
  <si>
    <t xml:space="preserve">Argentina </t>
  </si>
  <si>
    <t xml:space="preserve">Armenia </t>
  </si>
  <si>
    <t xml:space="preserve">Australia </t>
  </si>
  <si>
    <t xml:space="preserve">Azerbaijan </t>
  </si>
  <si>
    <t xml:space="preserve">Bahamas, The </t>
  </si>
  <si>
    <t xml:space="preserve">Bahrain </t>
  </si>
  <si>
    <t xml:space="preserve">Bangladesh </t>
  </si>
  <si>
    <t xml:space="preserve">Barbados </t>
  </si>
  <si>
    <t xml:space="preserve">Belgium </t>
  </si>
  <si>
    <t xml:space="preserve">Belize </t>
  </si>
  <si>
    <t xml:space="preserve">Benin </t>
  </si>
  <si>
    <t xml:space="preserve">Bhutan </t>
  </si>
  <si>
    <t xml:space="preserve">Bolivia </t>
  </si>
  <si>
    <t xml:space="preserve">Bosnia &amp; Herzegovina </t>
  </si>
  <si>
    <t xml:space="preserve">Botswana </t>
  </si>
  <si>
    <t xml:space="preserve">Brazil </t>
  </si>
  <si>
    <t xml:space="preserve">British Virgin Is. </t>
  </si>
  <si>
    <t xml:space="preserve">Brunei </t>
  </si>
  <si>
    <t xml:space="preserve">Bulgaria </t>
  </si>
  <si>
    <t xml:space="preserve">Burkina Faso </t>
  </si>
  <si>
    <t xml:space="preserve">Burma </t>
  </si>
  <si>
    <t xml:space="preserve">Burundi </t>
  </si>
  <si>
    <t xml:space="preserve">Cambodia </t>
  </si>
  <si>
    <t xml:space="preserve">Cameroon </t>
  </si>
  <si>
    <t xml:space="preserve">Cape Verde </t>
  </si>
  <si>
    <t xml:space="preserve">Cayman Islands </t>
  </si>
  <si>
    <t xml:space="preserve">Central African Rep. </t>
  </si>
  <si>
    <t xml:space="preserve">Chad </t>
  </si>
  <si>
    <t xml:space="preserve">Chile </t>
  </si>
  <si>
    <t xml:space="preserve">China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</si>
  <si>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</si>
  <si>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</si>
  <si>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</si>
  <si>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</si>
  <si>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</si>
  <si>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</si>
  <si>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</si>
  <si>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</si>
  <si>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</si>
  <si>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</si>
  <si>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</si>
  <si>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</si>
  <si>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</si>
  <si>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</si>
  <si>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</si>
  <si>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</si>
  <si>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</si>
  <si>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</si>
  <si>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</si>
  <si>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</si>
  <si>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</si>
  <si>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</si>
  <si>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</si>
  <si>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</si>
  <si>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</si>
  <si>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</si>
  <si>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</si>
  <si>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</si>
  <si>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</si>
  <si>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</si>
  <si>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</si>
  <si>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</si>
  <si>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</si>
  <si>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</si>
  <si>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</si>
  <si>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</si>
  <si>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</si>
  <si>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</si>
  <si>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</si>
  <si>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</si>
  <si>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</si>
  <si>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</si>
  <si>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</si>
  <si>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</si>
  <si>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</si>
  <si>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</si>
  <si>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</si>
  <si>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</si>
  <si>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</si>
  <si>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</si>
  <si>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</si>
  <si>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</si>
  <si>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</si>
  <si>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</si>
  <si>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</si>
  <si>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</si>
  <si>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</si>
  <si>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</si>
  <si>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</si>
  <si>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</si>
  <si>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</si>
  <si>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</si>
  <si>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</si>
  <si>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</si>
  <si>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</si>
  <si>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</si>
  <si>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</si>
  <si>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</si>
  <si>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</si>
  <si>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</si>
  <si>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</si>
  <si>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</si>
  <si>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</si>
  <si>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</si>
  <si>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</si>
  <si>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</si>
  <si>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</si>
  <si>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</si>
  <si>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</si>
  <si>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</si>
  <si>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</si>
  <si>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</si>
  <si>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</si>
  <si>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</si>
  <si>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</si>
  <si>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</si>
  <si>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</si>
  <si>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</si>
  <si>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</si>
  <si>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</si>
  <si>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</si>
  <si>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</si>
  <si>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</si>
  <si>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</si>
  <si>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</si>
  <si>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</si>
  <si>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</si>
  <si>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</si>
  <si>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</si>
  <si>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</si>
  <si>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</si>
  <si>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</si>
  <si>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</si>
  <si>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</si>
  <si>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</si>
  <si>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</si>
  <si>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</si>
  <si>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</si>
  <si>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</si>
  <si>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</si>
  <si>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</si>
  <si>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</si>
  <si>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</si>
  <si>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</si>
  <si>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</si>
  <si>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</si>
  <si>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</si>
  <si>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</si>
  <si>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</si>
  <si>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</si>
  <si>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</si>
  <si>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</si>
  <si>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</si>
  <si>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</si>
  <si>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</si>
  <si>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</si>
  <si>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</si>
  <si>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</si>
  <si>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</si>
  <si>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</si>
  <si>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</si>
  <si>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</si>
  <si>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</si>
  <si>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</si>
  <si>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</si>
  <si>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</si>
  <si>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</si>
  <si>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</si>
  <si>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</si>
  <si>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</si>
  <si>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</si>
  <si>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</si>
  <si>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</si>
  <si>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</si>
  <si>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</si>
  <si>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</si>
  <si>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</si>
  <si>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</si>
  <si>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</si>
  <si>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</si>
  <si>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</si>
  <si>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</si>
  <si>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</si>
  <si>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</si>
  <si>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</si>
  <si>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</si>
  <si>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</si>
  <si>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</si>
  <si>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</si>
  <si>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</si>
  <si>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</si>
  <si>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</si>
  <si>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</si>
  <si>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</si>
  <si>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</si>
  <si>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</si>
  <si>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</si>
  <si>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</si>
  <si>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</si>
  <si>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</si>
  <si>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</si>
  <si>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</si>
  <si>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</si>
  <si>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</si>
  <si>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</si>
  <si>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</si>
  <si>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</si>
  <si>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</si>
  <si>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</si>
  <si>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</si>
  <si>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</si>
  <si>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PHIUS+ Raters are welcome to add their own custom sheets to this workbook for instance, to track project notes.</t>
  </si>
  <si>
    <t>Responsible parties for completing each workbook are listed here.</t>
  </si>
  <si>
    <t>Take as many exterior photos as needed to appropriately depict all building elevations and significant architectural features of building for documentation folder</t>
  </si>
  <si>
    <t>Take representative pictures of all unique insulated assemblies and window/door installations</t>
  </si>
  <si>
    <t>Rater Notes:</t>
  </si>
  <si>
    <t>All insulated assemblies have achieved a RESNET Grade I cavity insulation level, or alternatively GII with continuous insulation.</t>
  </si>
  <si>
    <t xml:space="preserve">Insulation R-value:  All insulation R-values match those listed on architectural plans. If not, please describe in notes section below. </t>
  </si>
  <si>
    <t>Optional whole building preliminary blower door test (manual or automated test)</t>
  </si>
  <si>
    <t xml:space="preserve">    Building Envelope
     PHIUS+ On-site Quality Control</t>
  </si>
  <si>
    <t>Framing inspection:  Framing matches architectural plans. If not, please describe in notes section below.</t>
  </si>
  <si>
    <t>Compartmentalization</t>
  </si>
  <si>
    <t>Ventilation 
PHIUS+ On-site Quality Control</t>
  </si>
  <si>
    <r>
      <t xml:space="preserve">Total supply and exhaust are at least 100% of design values </t>
    </r>
    <r>
      <rPr>
        <b/>
        <u/>
        <sz val="12"/>
        <color theme="1"/>
        <rFont val="Calibri"/>
        <family val="2"/>
      </rPr>
      <t>and</t>
    </r>
    <r>
      <rPr>
        <sz val="12"/>
        <color theme="1"/>
        <rFont val="Calibri"/>
        <family val="2"/>
      </rPr>
      <t xml:space="preserve"> within 10% of each other?</t>
    </r>
  </si>
  <si>
    <r>
      <t xml:space="preserve">Measure power input (Watts) at </t>
    </r>
    <r>
      <rPr>
        <b/>
        <u/>
        <sz val="12"/>
        <color theme="1"/>
        <rFont val="Calibri"/>
        <family val="2"/>
      </rPr>
      <t>typical 24/7</t>
    </r>
    <r>
      <rPr>
        <sz val="12"/>
        <color theme="1"/>
        <rFont val="Calibri"/>
        <family val="2"/>
      </rPr>
      <t xml:space="preserve"> airflow setting</t>
    </r>
  </si>
  <si>
    <t>Manufacturer</t>
  </si>
  <si>
    <t>System Type</t>
  </si>
  <si>
    <t>HRV</t>
  </si>
  <si>
    <t>ERV</t>
  </si>
  <si>
    <t>Exhaust Only</t>
  </si>
  <si>
    <t>Supply Only</t>
  </si>
  <si>
    <t>Air Cycler</t>
  </si>
  <si>
    <t>Dwelling unit</t>
  </si>
  <si>
    <t>Shared</t>
  </si>
  <si>
    <t>Model #</t>
  </si>
  <si>
    <t>Air-sealed, class 1 vapor retarder shall be installed over all air-permeable insulation (such as fiberglass duct wrap) on ventilation ducts connected to outside (Enter R-value)</t>
  </si>
  <si>
    <t>Common Space Ventilation System Installation</t>
  </si>
  <si>
    <r>
      <t xml:space="preserve">Ventilation air inlets are at least 2' above grade and/or roof deck in climate zones 1-3 and at least 4' above grade and/or roof deck in climate zones 4-8, </t>
    </r>
    <r>
      <rPr>
        <u/>
        <sz val="12"/>
        <color theme="1"/>
        <rFont val="Calibri"/>
        <family val="2"/>
        <scheme val="minor"/>
      </rPr>
      <t>and</t>
    </r>
    <r>
      <rPr>
        <sz val="12"/>
        <color theme="1"/>
        <rFont val="Calibri"/>
        <family val="2"/>
        <scheme val="minor"/>
      </rPr>
      <t xml:space="preserve"> are not obstructed by snow, plantings, outdoor equipment, or other material at the time of inspection</t>
    </r>
  </si>
  <si>
    <t>Common Space zone</t>
  </si>
  <si>
    <t>System type</t>
  </si>
  <si>
    <t>(copy above line if more required to be documented)</t>
  </si>
  <si>
    <r>
      <t xml:space="preserve">If installed, describe </t>
    </r>
    <r>
      <rPr>
        <u/>
        <sz val="12"/>
        <color theme="1"/>
        <rFont val="Calibri"/>
        <family val="2"/>
        <scheme val="minor"/>
      </rPr>
      <t>operable</t>
    </r>
    <r>
      <rPr>
        <sz val="12"/>
        <color theme="1"/>
        <rFont val="Calibri"/>
        <family val="2"/>
        <scheme val="minor"/>
      </rPr>
      <t xml:space="preserve"> shading. Include photo/s in documentation folder</t>
    </r>
  </si>
  <si>
    <r>
      <t xml:space="preserve">Take pictures of </t>
    </r>
    <r>
      <rPr>
        <u/>
        <sz val="12"/>
        <color theme="1"/>
        <rFont val="Calibri"/>
        <family val="2"/>
        <scheme val="minor"/>
      </rPr>
      <t>surrounding site</t>
    </r>
    <r>
      <rPr>
        <sz val="12"/>
        <color theme="1"/>
        <rFont val="Calibri"/>
        <family val="2"/>
        <scheme val="minor"/>
      </rPr>
      <t xml:space="preserve"> on all sides of building</t>
    </r>
  </si>
  <si>
    <t>Heating + Cooling 
PHIUS+ On-site Quality Control</t>
  </si>
  <si>
    <t>X</t>
  </si>
  <si>
    <t>Does solar energy provide &gt;50% of DWH load?</t>
  </si>
  <si>
    <t>CPHC Name</t>
  </si>
  <si>
    <t>CPHC Company Name</t>
  </si>
  <si>
    <t>Architect Company Name</t>
  </si>
  <si>
    <t>HVAC responsible Individual</t>
  </si>
  <si>
    <t>PHIUS+ Project 
Registration #</t>
  </si>
  <si>
    <t>Heating/Cooling Only</t>
  </si>
  <si>
    <t>General Contractor / Builder Company Name</t>
  </si>
  <si>
    <t>General Contractor / Builder responsible Individual</t>
  </si>
  <si>
    <t>HVAC Company name</t>
  </si>
  <si>
    <t>CFM50/Shell area</t>
  </si>
  <si>
    <t>Average CFM50/Shell area</t>
  </si>
  <si>
    <t>Average ACH50</t>
  </si>
  <si>
    <t>All hot water systems and associated pumps are verified to be accurate per project specifications</t>
  </si>
  <si>
    <t xml:space="preserve">System type (split heat pump, water source heat pump, fan coil, furnace, hydronic, etc.)  </t>
  </si>
  <si>
    <t>There are six worksheets to complete (see the green tabs below).</t>
  </si>
  <si>
    <t>If shared, list units shared with</t>
  </si>
  <si>
    <t>Major Service / Electric Loads</t>
  </si>
  <si>
    <t>Installed air handlers, pumps, motors, etc match the project plans/schedule?</t>
  </si>
  <si>
    <t>Appliances, Lighting &amp; Service Electric Loads   
PHIUS+ On-site Quality Control</t>
  </si>
  <si>
    <r>
      <t xml:space="preserve">Total system and branch airflow testing - to be performed by PHIUS+ Rater. Rater-conducted </t>
    </r>
    <r>
      <rPr>
        <b/>
        <u/>
        <sz val="12"/>
        <color theme="1"/>
        <rFont val="Calibri"/>
        <family val="2"/>
      </rPr>
      <t>balancing</t>
    </r>
    <r>
      <rPr>
        <b/>
        <sz val="12"/>
        <color theme="1"/>
        <rFont val="Calibri"/>
        <family val="2"/>
      </rPr>
      <t xml:space="preserve"> is optional.</t>
    </r>
  </si>
  <si>
    <r>
      <t xml:space="preserve">Natural draft fireplaces are </t>
    </r>
    <r>
      <rPr>
        <b/>
        <u/>
        <sz val="12"/>
        <color theme="1"/>
        <rFont val="Calibri"/>
        <family val="2"/>
      </rPr>
      <t>not</t>
    </r>
    <r>
      <rPr>
        <b/>
        <sz val="12"/>
        <color theme="1"/>
        <rFont val="Calibri"/>
        <family val="2"/>
      </rPr>
      <t xml:space="preserve"> installed</t>
    </r>
  </si>
  <si>
    <r>
      <t xml:space="preserve">Hot water pipe install generally matches the design (length, diameter </t>
    </r>
    <r>
      <rPr>
        <b/>
        <u/>
        <sz val="12"/>
        <color theme="1"/>
        <rFont val="Calibri"/>
        <family val="2"/>
        <scheme val="minor"/>
      </rPr>
      <t>and</t>
    </r>
    <r>
      <rPr>
        <sz val="12"/>
        <color theme="1"/>
        <rFont val="Calibri"/>
        <family val="2"/>
        <scheme val="minor"/>
      </rPr>
      <t xml:space="preserve"> insulation)? Describe any differences below</t>
    </r>
  </si>
  <si>
    <t>Recirculation system installed? If so, please describe</t>
  </si>
  <si>
    <r>
      <t xml:space="preserve">Total supply and exhaust are +/- 15% or 15 CFM design values </t>
    </r>
    <r>
      <rPr>
        <b/>
        <u/>
        <sz val="12"/>
        <color theme="1"/>
        <rFont val="Calibri"/>
        <family val="2"/>
      </rPr>
      <t>and</t>
    </r>
    <r>
      <rPr>
        <sz val="12"/>
        <color theme="1"/>
        <rFont val="Calibri"/>
        <family val="2"/>
      </rPr>
      <t xml:space="preserve"> within 10% of each other?</t>
    </r>
  </si>
  <si>
    <t>Workbook updates:</t>
  </si>
  <si>
    <t>Clothes dryer is a condensing dryer, heat pump dryer, or exhaust dryer with exhaust ducted to the outside</t>
  </si>
  <si>
    <t>Project team has installed a renewable energy system (take photos of system and any inverters)</t>
  </si>
  <si>
    <t>If no renewable energy system installed, project has completed provisions of DOE Zero Energy Ready Homes PV Ready Checklist</t>
  </si>
  <si>
    <t>Bedrooms are pressure balanced to achieve a Rater-measured pressure difference of no more than 1Pa with respect to the main body of the house/apartment when all bedroom doors are closed and just the ventilation system is operating at design speed</t>
  </si>
  <si>
    <t>If kitchen exhaust connected to ERV/HRV, register is min. 6' from cooktop, MERV 3 or washable mesh filter for trapping grease, and recirc hood over range</t>
  </si>
  <si>
    <t>Manufacturer + model #</t>
  </si>
  <si>
    <t>DHW is "central system" or "individual apartment" systems?</t>
  </si>
  <si>
    <t xml:space="preserve">Describe variations </t>
  </si>
  <si>
    <t>Renewable Energy Systems</t>
  </si>
  <si>
    <t>https://www.epa.gov/sites/production/files/2018-03/documents/indoor_airplus_fillable_verification_checklist.pdf</t>
  </si>
  <si>
    <t>https://www.epa.gov/sites/production/files/2018-03/documents/indoor_airplus_construction_specifications.pdf</t>
  </si>
  <si>
    <t>CFM50 test result - depressurization (multi-point test)</t>
  </si>
  <si>
    <t>CFM50 test result - pressurization (multi-point test)</t>
  </si>
  <si>
    <t>1.9a</t>
  </si>
  <si>
    <t>Verified     (cfm)</t>
  </si>
  <si>
    <t>Verified (cfm)</t>
  </si>
  <si>
    <t>Square Footage of the Building Envelope</t>
  </si>
  <si>
    <t>Building Net Volume</t>
  </si>
  <si>
    <t>YES</t>
  </si>
  <si>
    <t>NO</t>
  </si>
  <si>
    <t>Target Value (CFM50)</t>
  </si>
  <si>
    <t>Target Value (CFM50/Shell Area)</t>
  </si>
  <si>
    <t>Building is 5+ stories in height, of non-combustible construction (YES/NO)</t>
  </si>
  <si>
    <t>Ducted heating/cooling systems?</t>
  </si>
  <si>
    <r>
      <t xml:space="preserve">Footnotes
</t>
    </r>
    <r>
      <rPr>
        <b/>
        <sz val="12"/>
        <color theme="1"/>
        <rFont val="Calibri"/>
        <family val="2"/>
        <scheme val="minor"/>
      </rPr>
      <t>(1)</t>
    </r>
    <r>
      <rPr>
        <sz val="12"/>
        <color theme="1"/>
        <rFont val="Calibri"/>
        <family val="2"/>
        <scheme val="minor"/>
      </rPr>
      <t xml:space="preserve"> Projects located outside of the United States, or in California or Alaska, will need to meet the same critieria, regardless of their configuration.</t>
    </r>
  </si>
  <si>
    <t>Perform thorough IR scan of entire building from interior and exterior, including all common spaces, and document representative photos</t>
  </si>
  <si>
    <t>Space specific, or shared?</t>
  </si>
  <si>
    <t xml:space="preserve"> Ventilation System Installation</t>
  </si>
  <si>
    <t>Take photos of equipment for documentation folder</t>
  </si>
  <si>
    <t>Ventilation air comes directly from outdoors, not from adjacent spaces, common spaces, garages, crawlspaces or attics</t>
  </si>
  <si>
    <t xml:space="preserve">Outside air filter is located to facilitate regular service </t>
  </si>
  <si>
    <t xml:space="preserve">Provision must be made to supply fresh air to all critical interior areas. Dedicated ventilation ductwork is best practice. In the case of ventilation ductwork integrated with heating/cooling ducts, ERV should remain in balance under all fan speeds of the heating/cooling air handler, and said air handler fan must be designed to run continuously by default. 
</t>
  </si>
  <si>
    <t xml:space="preserve">Ventilation system airflow testing verification: Where ventilation system has independent ductwork for supply and/or exhaust, branch airflow testing is to be performed by PHIUS+  Verifier. </t>
  </si>
  <si>
    <t>Verifier Notes:</t>
  </si>
  <si>
    <t>PHIUS+ Verifier Verified</t>
  </si>
  <si>
    <t>Verifier has measured and documented the branch airflow balancing to be within specifications (the greater of +/- 20% or 25cfm of design value)</t>
  </si>
  <si>
    <t>Bedrooms are pressure balanced (N/A)</t>
  </si>
  <si>
    <t>Verifier review of pipe + pump installation:</t>
  </si>
  <si>
    <t>Combustion furnaces, boilers and/or water heaters located within the buildings' pressure boundary are sealed combustion appliances with both flue and combustion air pipes routed directly to  building exteror</t>
  </si>
  <si>
    <t>Type #1 Manufacturer + Model #</t>
  </si>
  <si>
    <t>Type #1 kWh/yr</t>
  </si>
  <si>
    <t>Type #2 Manufacturer + Model #</t>
  </si>
  <si>
    <t>Type #2 kWh/yr</t>
  </si>
  <si>
    <t>Type 1 &amp; 2 - weighted average kWh/yr</t>
  </si>
  <si>
    <t>PHIUS energy model input (kWh/day)</t>
  </si>
  <si>
    <t>PHIUS+ Verifier has reviewed lighting plan and lamp/fixture schedule</t>
  </si>
  <si>
    <t>Installed lighting matches lighting plan and lamp/fixture schedule - describe variations, if applicable</t>
  </si>
  <si>
    <t>Project meets requirements forcommon space lighting requirements of ENERGY STAR MFHR</t>
  </si>
  <si>
    <t>Project team has provided PHIUS+ Verifier with detailed service mechanical / electrical equipment plan/schedule?</t>
  </si>
  <si>
    <t>PHIUS+ Verifier provided electrical commissioning reports from third-party balancing/commissioning agent with electrical measurements?</t>
  </si>
  <si>
    <t>Type #2 - % of total installed appliance</t>
  </si>
  <si>
    <t>Type #1 - % of total installed appliance</t>
  </si>
  <si>
    <r>
      <rPr>
        <b/>
        <u/>
        <sz val="12"/>
        <color theme="1"/>
        <rFont val="Calibri"/>
        <family val="2"/>
        <scheme val="minor"/>
      </rPr>
      <t>Using This Workbook</t>
    </r>
    <r>
      <rPr>
        <sz val="12"/>
        <color theme="1"/>
        <rFont val="Calibri"/>
        <family val="2"/>
        <scheme val="minor"/>
      </rPr>
      <t xml:space="preserve">
The goal of this workbook is to create a single, organized data collection form that shall be used by PHIUS+ Raters/Verifiers to document required on-site verification measures that are required for PHIUS+ Certification for nonresidentail projects. As such, the workbook incorporates the various program requirements of the PHIUS+ certification process, including the best practices for building envelope design/installation, HVAC design/installation, domestic hot water distribution, moisture durability management, and indoor air quality. 
In addition, information regarding testing protocols, exceptions to requirements and links to outside information are included throughout the document using the red "comments" flags that are embedded at the top right of various cells in the workbook. 
This workbook shall be used for all nonresidential projects, regardless of size. Nonresidential buildings are typically certified through PHIUS as a </t>
    </r>
    <r>
      <rPr>
        <u/>
        <sz val="12"/>
        <color theme="1"/>
        <rFont val="Calibri"/>
        <family val="2"/>
        <scheme val="minor"/>
      </rPr>
      <t>single project.</t>
    </r>
    <r>
      <rPr>
        <sz val="12"/>
        <color theme="1"/>
        <rFont val="Calibri"/>
        <family val="2"/>
        <scheme val="minor"/>
      </rPr>
      <t xml:space="preserve"> Nonresidential projects shall also follow the ESTAR MFNCP, IAP and ZERH certification protocol for all spaces within the project. PHIUS+ Certification requires checklists be documented for each space. The PHIUS+ Rater/Verifier shall discuss checklist documentation requirements with their QA Provider to determine what the Provider will require.
</t>
    </r>
  </si>
  <si>
    <r>
      <t xml:space="preserve">Questions regarding particular checklist items should be directed </t>
    </r>
    <r>
      <rPr>
        <u/>
        <sz val="12"/>
        <color theme="1"/>
        <rFont val="Calibri"/>
        <family val="2"/>
        <scheme val="minor"/>
      </rPr>
      <t>first</t>
    </r>
    <r>
      <rPr>
        <sz val="12"/>
        <color theme="1"/>
        <rFont val="Calibri"/>
        <family val="2"/>
        <scheme val="minor"/>
      </rPr>
      <t xml:space="preserve"> to the PHIUS+ Rater for the project. For questions on the nuances of certifying mixed-use buildings under ESTAR, please contact the PHIUS+ QA/QC Manager at QA@passivehouse.us. For any and all question regarding the certification process for any project, please contact certification@passivehouse.us.</t>
    </r>
  </si>
  <si>
    <r>
      <rPr>
        <b/>
        <sz val="12"/>
        <color theme="1"/>
        <rFont val="Calibri"/>
        <family val="2"/>
        <scheme val="minor"/>
      </rPr>
      <t>(2)</t>
    </r>
    <r>
      <rPr>
        <sz val="12"/>
        <color theme="1"/>
        <rFont val="Calibri"/>
        <family val="2"/>
        <scheme val="minor"/>
      </rPr>
      <t xml:space="preserve"> Nonresidential Projects with a Building Permit date after 7-1-2021 will be required to follow the EPA Energy Star Multi-Family New Construction Program Certification Criteria. </t>
    </r>
  </si>
  <si>
    <t>DRAFT - August 2020, 
V1.0 - November 2020</t>
  </si>
  <si>
    <t xml:space="preserve">Introduction: </t>
  </si>
  <si>
    <t>Insert general project information in this tab. This information will autopopulate tabs throughout the workbook.
MROs can copy the summary table at the bottom of this page to into their reporting spreadsheet to submit projects to EPA.</t>
  </si>
  <si>
    <t>Project Details</t>
  </si>
  <si>
    <t xml:space="preserve">Project Name: </t>
  </si>
  <si>
    <t xml:space="preserve">Permit Date: </t>
  </si>
  <si>
    <t xml:space="preserve">Project Address: </t>
  </si>
  <si>
    <t xml:space="preserve">City: </t>
  </si>
  <si>
    <t xml:space="preserve">State: </t>
  </si>
  <si>
    <t xml:space="preserve">Pathway: </t>
  </si>
  <si>
    <r>
      <t xml:space="preserve">Version: 
</t>
    </r>
    <r>
      <rPr>
        <sz val="10"/>
        <color theme="1"/>
        <rFont val="Arial"/>
        <family val="2"/>
      </rPr>
      <t>(Prescriptive and ERI Only)</t>
    </r>
  </si>
  <si>
    <t>Heating &amp; Cooling Equipment Pathway:</t>
  </si>
  <si>
    <t>Stories:</t>
  </si>
  <si>
    <t>Climate Zone:</t>
  </si>
  <si>
    <t>Project Square Feet:</t>
  </si>
  <si>
    <t xml:space="preserve">Number of Units: </t>
  </si>
  <si>
    <t xml:space="preserve">Market Sector: </t>
  </si>
  <si>
    <t xml:space="preserve">Number of IAP Units: </t>
  </si>
  <si>
    <t>Builder / Developer Details</t>
  </si>
  <si>
    <t xml:space="preserve">Builder / Developer 1
Company Name: </t>
  </si>
  <si>
    <t xml:space="preserve">Builder / Developer 1
Employee: </t>
  </si>
  <si>
    <t xml:space="preserve">Builder / Developer 2
Company Name: </t>
  </si>
  <si>
    <t xml:space="preserve">Builder / Developer 2
Employee: </t>
  </si>
  <si>
    <t>Rater Details</t>
  </si>
  <si>
    <t xml:space="preserve">Rater Company Name: </t>
  </si>
  <si>
    <t xml:space="preserve">Rater Employee: </t>
  </si>
  <si>
    <t>Other Professional Details</t>
  </si>
  <si>
    <t xml:space="preserve">ASHRAE Modeler Company Name: </t>
  </si>
  <si>
    <t xml:space="preserve">ASHRAE Modeler Employee: </t>
  </si>
  <si>
    <t xml:space="preserve">Functional Testing Agent Company Name: </t>
  </si>
  <si>
    <t xml:space="preserve">Functional Testing (FT) Agent Employee: </t>
  </si>
  <si>
    <r>
      <t xml:space="preserve">Licensed Professional Company Name: 
</t>
    </r>
    <r>
      <rPr>
        <sz val="9"/>
        <color theme="1"/>
        <rFont val="Arial"/>
        <family val="2"/>
      </rPr>
      <t xml:space="preserve">(Optional)                                        .   </t>
    </r>
  </si>
  <si>
    <r>
      <t xml:space="preserve">Licensed Professional Employee: 
</t>
    </r>
    <r>
      <rPr>
        <sz val="9"/>
        <color theme="1"/>
        <rFont val="Arial"/>
        <family val="2"/>
      </rPr>
      <t xml:space="preserve">(Optional)                                        .   </t>
    </r>
  </si>
  <si>
    <t xml:space="preserve">                       Instructions</t>
  </si>
  <si>
    <t>ENERGY STAR Multifamily Workbook</t>
  </si>
  <si>
    <t>Must Correct Report</t>
  </si>
  <si>
    <t>Checklist Items to Correct</t>
  </si>
  <si>
    <t>Checklist Comments</t>
  </si>
  <si>
    <t>1a. Rater Design Checklist  - Must Correct</t>
  </si>
  <si>
    <t>Rater Design Checklist</t>
  </si>
  <si>
    <t>Must Correct</t>
  </si>
  <si>
    <t>Comments</t>
  </si>
  <si>
    <t>1b. Rater Field Checklist  - Must Correct</t>
  </si>
  <si>
    <t>Must Correct </t>
  </si>
  <si>
    <t>Notes/Comments</t>
  </si>
  <si>
    <t xml:space="preserve">
</t>
  </si>
  <si>
    <t>ALL PATHWAYS</t>
  </si>
  <si>
    <t xml:space="preserve">
</t>
  </si>
  <si>
    <t>Project Name:</t>
  </si>
  <si>
    <t>Number of Units:</t>
  </si>
  <si>
    <t>Permit Date:</t>
  </si>
  <si>
    <t>Project Address:</t>
  </si>
  <si>
    <t>City:</t>
  </si>
  <si>
    <t>State:</t>
  </si>
  <si>
    <r>
      <t xml:space="preserve">Rater Design Review Checklist </t>
    </r>
    <r>
      <rPr>
        <b/>
        <vertAlign val="superscript"/>
        <sz val="18"/>
        <color theme="0"/>
        <rFont val="Arial"/>
        <family val="2"/>
      </rPr>
      <t>1</t>
    </r>
  </si>
  <si>
    <t xml:space="preserve"> </t>
  </si>
  <si>
    <r>
      <t xml:space="preserve">Rater </t>
    </r>
    <r>
      <rPr>
        <b/>
        <vertAlign val="superscript"/>
        <sz val="12"/>
        <rFont val="Arial"/>
        <family val="2"/>
      </rPr>
      <t>4</t>
    </r>
    <r>
      <rPr>
        <b/>
        <sz val="12"/>
        <rFont val="Arial"/>
        <family val="2"/>
      </rPr>
      <t xml:space="preserve"> Verified</t>
    </r>
  </si>
  <si>
    <t>Column1</t>
  </si>
  <si>
    <t>Pathway Tag</t>
  </si>
  <si>
    <t>Required Fields</t>
  </si>
  <si>
    <t>Field Type</t>
  </si>
  <si>
    <t>Additional Columns</t>
  </si>
  <si>
    <r>
      <t> </t>
    </r>
    <r>
      <rPr>
        <b/>
        <sz val="12"/>
        <color theme="1"/>
        <rFont val="Arial"/>
        <family val="2"/>
      </rPr>
      <t>1. Partnership Status </t>
    </r>
  </si>
  <si>
    <t>All</t>
  </si>
  <si>
    <t>Required</t>
  </si>
  <si>
    <t>Section Header</t>
  </si>
  <si>
    <r>
      <t xml:space="preserve">
Footnote 1. This Checklist applies to all dwelling units, sleeping units, common spaces </t>
    </r>
    <r>
      <rPr>
        <vertAlign val="superscript"/>
        <sz val="12"/>
        <color theme="0" tint="-0.499984740745262"/>
        <rFont val="Arial"/>
        <family val="2"/>
      </rPr>
      <t>2</t>
    </r>
    <r>
      <rPr>
        <sz val="12"/>
        <color theme="0" tint="-0.499984740745262"/>
        <rFont val="Arial"/>
        <family val="2"/>
      </rPr>
      <t>, and garages (open or enclosed) in the building being certified, and where speciified, parking lots. These requirements do not apply to parking garages or lots where the cost of the energy use of the parking garage or lot is not the responsibility of the Builder/Developer, Building Owner, or Property Manager. This Checklist does not apply to commercial or retail spaces.  This Checklist does not apply to common spaces that are located in buildings on the property without any dwelling or sleeping units. The term ‘sleeping unit’ refers to a room or space in which people sleep, which can also include permanent provisions for living, eating, and either sanitation or kitchen facilities but not both. Where the term ‘dwelling unit’ is used in this Checklist, the requirement is also required of ‘sleeping’ units. The term ‘building’ refers to a structure utilized or intended for supporting or sheltering occupancy for a residential purpose; a structure with no dwelling or sleeping units connected to a structure with dwelling or sleeping units by less than 10% of its exterior wall area is not to be included in the ‘building’.</t>
    </r>
  </si>
  <si>
    <t>Footnote 1 - Checklist</t>
  </si>
  <si>
    <r>
      <t xml:space="preserve">Footnote 4. The term ‘Rater’ refers to the person(s) completing the third-party verification required for certification. The person(s) shall: a) be a Certified Rater, Approved Inspector, or an equivalent designation as determined by a Verification Oversight Organization or Multifamily Review Organization and, b) have attended and successfully completed an EPA-recognized training class. See </t>
    </r>
    <r>
      <rPr>
        <sz val="12"/>
        <color rgb="FF0433FF"/>
        <rFont val="Arial"/>
        <family val="2"/>
      </rPr>
      <t>www.energystar.gov/mftraining</t>
    </r>
    <r>
      <rPr>
        <sz val="12"/>
        <color theme="0" tint="-0.499984740745262"/>
        <rFont val="Arial"/>
        <family val="2"/>
      </rPr>
      <t xml:space="preserve">. </t>
    </r>
  </si>
  <si>
    <t>Footnote 4 - Checklist</t>
  </si>
  <si>
    <r>
      <t xml:space="preserve">1.1 Rater has verified and documented that builder or developer has an ENERGY STAR partnership agreement using </t>
    </r>
    <r>
      <rPr>
        <sz val="12"/>
        <color rgb="FF0433FF"/>
        <rFont val="Arial"/>
        <family val="2"/>
      </rPr>
      <t>www.energystar.gov/partnerlocator</t>
    </r>
    <r>
      <rPr>
        <sz val="12"/>
        <rFont val="Arial"/>
        <family val="2"/>
      </rPr>
      <t>.</t>
    </r>
    <r>
      <rPr>
        <sz val="12"/>
        <color rgb="FF0433FF"/>
        <rFont val="Arial"/>
        <family val="2"/>
      </rPr>
      <t xml:space="preserve">
</t>
    </r>
    <r>
      <rPr>
        <sz val="12"/>
        <rFont val="Arial"/>
        <family val="2"/>
      </rPr>
      <t xml:space="preserve">
Builder Name: __________________________
Developer Name: _______________________</t>
    </r>
  </si>
  <si>
    <t>Checklist</t>
  </si>
  <si>
    <r>
      <t xml:space="preserve">1.2 ASHRAE Only: Rater has verified that modeler is listed in the online directory using </t>
    </r>
    <r>
      <rPr>
        <sz val="12"/>
        <color rgb="FF0433FF"/>
        <rFont val="Arial"/>
        <family val="2"/>
      </rPr>
      <t>www.energystar.gov/ASHRAEdirectory</t>
    </r>
    <r>
      <rPr>
        <sz val="12"/>
        <rFont val="Arial"/>
        <family val="2"/>
      </rPr>
      <t>.</t>
    </r>
    <r>
      <rPr>
        <sz val="12"/>
        <color rgb="FF0433FF"/>
        <rFont val="Arial"/>
        <family val="2"/>
      </rPr>
      <t xml:space="preserve">
</t>
    </r>
    <r>
      <rPr>
        <sz val="12"/>
        <rFont val="Arial"/>
        <family val="2"/>
      </rPr>
      <t>Modeler name: ________________________________ (Not required for projects in California)</t>
    </r>
  </si>
  <si>
    <t>ASHRAE</t>
  </si>
  <si>
    <t>2. High-Performance Fenestration </t>
  </si>
  <si>
    <t xml:space="preserve">2.1 Dwelling units: </t>
  </si>
  <si>
    <r>
      <t xml:space="preserve"> 2.1.1 Prescriptive: Specified fenestration meets or exceeds ENERGY STAR MF Reference Design requirements. </t>
    </r>
    <r>
      <rPr>
        <vertAlign val="superscript"/>
        <sz val="12"/>
        <color theme="1"/>
        <rFont val="Arial"/>
        <family val="2"/>
      </rPr>
      <t xml:space="preserve">5
</t>
    </r>
  </si>
  <si>
    <t>Prescriptive</t>
  </si>
  <si>
    <t>Footnote 5. All windows, doors and skylights must meet or exceed the U-factor and SHGC requirements specified in the table below. If no NFRC rating is noted on the window or in product literature (e.g., for site-built fenestration), select the U-factor and SHGC value from Tables 4 and 10, respectively, in 2013 ASHRAE Handbook of Fundamentals, Chapter 15. Select the highest U-factor and SHGC value among the values listed for the known window characteristics (e.g., frame type, number of panes, glass color, and presence of low-e coating). Note that the U-factor requirement applies to all fenestration while the SHGC only applies to the glazed portion.
SEE TABLE IN Tab 6. Fenestration
The following exemptions apply:
i. An area-weighted average of fenestration products shall be permitted to satisfy the U-factor requirements;
ii. An area-weighted average of fenestration products ≥ 50% glazed shall be permitted to satisfy the SHGC requirements; and
iii. 5% of all combined fenestration area (glazed and opaque) shall be exempt from the U-factor and SHGC requirements, and shall be excluded from area-weighted averages calculated using i) and ii), above. 
In PHIUS+ or PHI certified buildings, where triple-glazed window assemblies with thermal breaks / spacers between the panes are used, such windows meet the intent of Items 2.1 and 2.2 and shall be excluded when assessing compliance of i) through iii), above.</t>
  </si>
  <si>
    <t>Footnote 5 - 2.1.1</t>
  </si>
  <si>
    <r>
      <t xml:space="preserve"> 2.1.2 ERI and ASHRAE Only: Specified fenestration meets or exceeds 2009 IECC residential requirements. </t>
    </r>
    <r>
      <rPr>
        <vertAlign val="superscript"/>
        <sz val="12"/>
        <color theme="1"/>
        <rFont val="Arial"/>
        <family val="2"/>
      </rPr>
      <t xml:space="preserve">5
</t>
    </r>
  </si>
  <si>
    <t>ERI, ASHRAE</t>
  </si>
  <si>
    <t>Footnote 5 - 2.1.2</t>
  </si>
  <si>
    <r>
      <t xml:space="preserve">2.2 Common space: </t>
    </r>
    <r>
      <rPr>
        <vertAlign val="superscript"/>
        <sz val="12"/>
        <color theme="1"/>
        <rFont val="Arial"/>
        <family val="2"/>
      </rPr>
      <t xml:space="preserve">2
</t>
    </r>
  </si>
  <si>
    <t xml:space="preserve">
Footnote 2. The term ‘common space’ refers to any spaces in the building being certified that serve a function in support of the residential part of the building that is not part of a dwelling or sleeping unit.  This includes spaces used by residents, such as corridors, stairs, lobbies, laundry rooms, exercise rooms, residential recreation rooms, and dining halls, as well as offices and other spaces used by building management, administration or maintenance in support of support the residents.</t>
  </si>
  <si>
    <t>Footnote 2 - 2.2</t>
  </si>
  <si>
    <r>
      <t xml:space="preserve"> 2.2.1 ERI and Prescriptive: Specified fenestration meets or exceeds ENERGY STAR MF Reference Design requirements. </t>
    </r>
    <r>
      <rPr>
        <vertAlign val="superscript"/>
        <sz val="12"/>
        <color theme="1"/>
        <rFont val="Arial"/>
        <family val="2"/>
      </rPr>
      <t xml:space="preserve">5
</t>
    </r>
  </si>
  <si>
    <t>ERI, Prescriptive</t>
  </si>
  <si>
    <t>Footnote 5 - 2.2.1</t>
  </si>
  <si>
    <r>
      <t xml:space="preserve"> 2.2.2 ASHRAE Only: Specified fenestration meets or exceeds 2009 IECC commercial requirements. </t>
    </r>
    <r>
      <rPr>
        <vertAlign val="superscript"/>
        <sz val="12"/>
        <color theme="1"/>
        <rFont val="Arial"/>
        <family val="2"/>
      </rPr>
      <t xml:space="preserve">5
</t>
    </r>
  </si>
  <si>
    <t>Footnote 5 - 2.2.2</t>
  </si>
  <si>
    <t>3. High-Performance Insulation </t>
  </si>
  <si>
    <t xml:space="preserve">3.1 Dwelling unit: </t>
  </si>
  <si>
    <r>
      <t xml:space="preserve"> 3.1.1: Prescriptive: Specified ceiling </t>
    </r>
    <r>
      <rPr>
        <vertAlign val="superscript"/>
        <sz val="12"/>
        <color theme="1"/>
        <rFont val="Arial"/>
        <family val="2"/>
      </rPr>
      <t>6</t>
    </r>
    <r>
      <rPr>
        <sz val="12"/>
        <color theme="1"/>
        <rFont val="Arial"/>
        <family val="2"/>
      </rPr>
      <t xml:space="preserve">, wall </t>
    </r>
    <r>
      <rPr>
        <vertAlign val="superscript"/>
        <sz val="12"/>
        <color theme="1"/>
        <rFont val="Arial"/>
        <family val="2"/>
      </rPr>
      <t>7</t>
    </r>
    <r>
      <rPr>
        <sz val="12"/>
        <color theme="1"/>
        <rFont val="Arial"/>
        <family val="2"/>
      </rPr>
      <t xml:space="preserve">, and slab-on-grade insulation levels meet or exceed ENERGY STAR MF Reference Design requirements. </t>
    </r>
    <r>
      <rPr>
        <vertAlign val="superscript"/>
        <sz val="12"/>
        <color theme="1"/>
        <rFont val="Arial"/>
        <family val="2"/>
      </rPr>
      <t xml:space="preserve">8, 9, 10 
</t>
    </r>
  </si>
  <si>
    <t xml:space="preserve">
Footnote 6. Where the term ‘ceiling’ is used, the component insulation levels for “roofs” shall be used and does not apply to adiabatic ceilings, such as the insulated or uninsulated ceiling between two dwelling units in a multistory building.</t>
  </si>
  <si>
    <t>Footnote 6 - 3.1.1</t>
  </si>
  <si>
    <t xml:space="preserve">Footnote 7. Items 3.1 and 3.2 are also applicable to walls that are adjacent to other buildings or adjacent to unconditioned spaces within the building. Where the wall assembly includes continuous insulation that is interrupted by fasteners or service openings, an assembly U-factor must be calculated. For the interrupted portions, the continuous insulation cannot contribute to the assembly U-factor and an overall U-factor shall be calculated based on an area weighted ratio. Thermally broken shelf-angles are exempt from de-rating. </t>
  </si>
  <si>
    <t>Footnote 7 - 3.1.1</t>
  </si>
  <si>
    <t>Footnote 8. Specified levels shall meet or exceed the component insulation levels in 2009 IECC 
Table 502.2(1) or the table specified in the ENERGY STAR Multifamily Reference Design. The following exceptions apply:
a. For ceilings with attic spaces, R-30 shall satisfy the requirement for R-38 and R-38 shall satisfy the requirement for R-49 wherever the full height of uncompressed insulation at the lower R-value extends over the wall top plate at the eaves. This exemption shall not apply if the alternative calculations in d) are used;
b. For ceilings without attic spaces, that are not roofs with insulation above deck, R-30 shall satisfy the requirement for any required value above R-30 if the design of the roof / ceiling assembly does not provide sufficient space for the required insulation value. This exemption shall be limited to 20% of the total insulated ceiling area. This exemption shall not apply if the alternative calculations in d) are used;
c. Common spaces following the ENERGY STAR Multifamily Reference Design should use the “All Other” column and also use the row of the table that best corresponds to the common space features. Unlike Prescriptive Path dwelling units, the common spaces do not need to follow the row corresponding to a wood-framed building. 
d. An alternative equivalent U-factor or total UA calculation may also be used to demonstrate compliance, as follows: 
An assembly with a U-factor equal or less than specified in 2009 IECC Table 502.1.2 complies. A total building thermal envelope UA that is less than or equal to the total UA resulting from the U-factors in Table 502.1.2 also complies. The performance of all components (i.e., roofs, walls, floors, slabs-on-grade, and fenestration) can be traded off using the UA approach. Note that Items 1.5, 1.6, and 3.1 through 3.7 of the National Rater Field Checklist shall be met regardless of the UA tradeoffs calculated. The UA calculation shall be done using a method consistent with the ASHRAE Handbook of Fundamentals and shall include the thermal bridging effects of framing materials. The calculation for a steel-frame envelope assembly shall use the ASHRAE zone method or a method providing equivalent results, and not a series-parallel path calculation method.</t>
  </si>
  <si>
    <t>Footnote 8 - 3.1.1</t>
  </si>
  <si>
    <t>Footnote 9. Consistent with the 2009 IECC, slab edge insulation is only required for slab-on-grade floors with a floor surface less than 24 inches below grade. Slab-on-grade perimeter insulation shall extend to the top of the slab to provide a complete thermal break. If the top edge of the insulation is installed between the exterior wall and the edge of the interior slab, it shall be permitted to be cut at a 45-degree angle away from the exterior wall. Alternatively, the thermal break is permitted to be created using ≥ R-3 rigid insulation on top of an existing slab (e.g., in a building undergoing a gut rehabilitation). In such cases, up to 10% of the slab surface is permitted to not be insulated (e.g., for sleepers, for sill plates). Insulation installed on top of slab shall be covered by a durable floor surface (e.g., hardwood, tile, carpet).</t>
  </si>
  <si>
    <t>Footnote 9 - 3.1.1</t>
  </si>
  <si>
    <t>Footnote 10. Where an insulated wall separates a garage, patio, porch, or other unconditioned space from the conditioned space of the building, slab perimeter insulation shall also be installed at this interface to provide a thermal break between the conditioned and unconditioned slab, if the slab is in contact with the ground at that interface. Where specific details cannot meet this requirement, partners shall provide the detail to EPA to request an exemption prior to the building’s certification. EPA will compile exempted details and work with industry to develop feasible details for use in future revisions to the program. A list of currently exempted details is available at: www.energystar.gov/slabedge.</t>
  </si>
  <si>
    <t>Footnote 10 - 3.1.1</t>
  </si>
  <si>
    <r>
      <t xml:space="preserve"> 3.1.2: ERI and ASHRAE Only: Specified ceiling </t>
    </r>
    <r>
      <rPr>
        <vertAlign val="superscript"/>
        <sz val="12"/>
        <color theme="1"/>
        <rFont val="Arial"/>
        <family val="2"/>
      </rPr>
      <t>6</t>
    </r>
    <r>
      <rPr>
        <sz val="12"/>
        <color theme="1"/>
        <rFont val="Arial"/>
        <family val="2"/>
      </rPr>
      <t xml:space="preserve">, wall </t>
    </r>
    <r>
      <rPr>
        <vertAlign val="superscript"/>
        <sz val="12"/>
        <color theme="1"/>
        <rFont val="Arial"/>
        <family val="2"/>
      </rPr>
      <t>7</t>
    </r>
    <r>
      <rPr>
        <sz val="12"/>
        <color theme="1"/>
        <rFont val="Arial"/>
        <family val="2"/>
      </rPr>
      <t>, floor, and slab-on-grade insulation levels meet or exceed values from the “Group R” column in the 2009 IECC Commercial chapter.</t>
    </r>
    <r>
      <rPr>
        <vertAlign val="superscript"/>
        <sz val="12"/>
        <color theme="1"/>
        <rFont val="Arial"/>
        <family val="2"/>
      </rPr>
      <t xml:space="preserve"> 8, 9, 10
</t>
    </r>
  </si>
  <si>
    <t>Footnote 6. Where the term ‘ceiling’ is used, the component insulation levels for “roofs” shall be used and does not apply to adiabatic ceilings, such as the insulated or uninsulated ceiling between two dwelling units in a multistory building.</t>
  </si>
  <si>
    <t>Footnote 6 - 3.1.2</t>
  </si>
  <si>
    <t>Footnote 7 - 3.1.2</t>
  </si>
  <si>
    <t>Footnote 8. Specified levels shall meet or exceed the component insulation levels in 
2009 IECC Table 502.2(1) or the table specified in the ENERGY STAR Multifamily Reference Design. The following exceptions apply:
a. For ceilings with attic spaces, R-30 shall satisfy the requirement for R-38 and R-38 shall satisfy the requirement for R-49 wherever the full height of uncompressed insulation at the lower R-value extends over the wall top plate at the eaves. This exemption shall not apply if the alternative calculations in d) are used;
b. For ceilings without attic spaces, that are not roofs with insulation above deck, R-30 shall satisfy the requirement for any required value above R-30 if the design of the roof / ceiling assembly does not provide sufficient space for the required insulation value. This exemption shall be limited to 20% of the total insulated ceiling area. This exemption shall not apply if the alternative calculations in d) are used;
c. Common spaces following the ENERGY STAR Multifamily Reference Design should use the “All Other” column and also use the row of the table that best corresponds to the common space features. Unlike Prescriptive Path dwelling units, the common spaces do not need to follow the row corresponding to a wood-framed building. 
d. An alternative equivalent U-factor or total UA calculation may also be used to demonstrate compliance, as follows: 
An assembly with a U-factor equal or less than specified in 2009 IECC Table 502.1.2 complies. A total building thermal envelope UA that is less than or equal to the total UA resulting from the U-factors in Table 502.1.2 also complies. The performance of all components (i.e., roofs, walls, floors, slabs-on-grade, and fenestration) can be traded off using the UA approach. Note that Items 1.5, 1.6, and 3.1 through 3.7 of the National Rater Field Checklist shall be met regardless of the UA tradeoffs calculated. The UA calculation shall be done using a method consistent with the ASHRAE Handbook of Fundamentals and shall include the thermal bridging effects of framing materials. The calculation for a steel-frame envelope assembly shall use the ASHRAE zone method or a method providing equivalent results, and not a series-parallel path calculation method.</t>
  </si>
  <si>
    <t>Footnote 8 - 3.1.2</t>
  </si>
  <si>
    <t>Footnote 9 - 3.1.2</t>
  </si>
  <si>
    <t>Footnote 10 - 3.1.2</t>
  </si>
  <si>
    <r>
      <t xml:space="preserve">3.2 Common space: </t>
    </r>
    <r>
      <rPr>
        <vertAlign val="superscript"/>
        <sz val="12"/>
        <color theme="1"/>
        <rFont val="Arial"/>
        <family val="2"/>
      </rPr>
      <t xml:space="preserve">2
</t>
    </r>
  </si>
  <si>
    <t xml:space="preserve">
Footnote 2. The term ‘common space’ refers to any spaces in the building being certified that serve a function in support of the residential part of the building that is not part of a dwelling or sleeping unit.  This includes spaces used by residents, such as corridors, stairs, lobbies, laundry rooms, exercise rooms, residential recreation rooms, and dining halls, as well as offices and other spaces used by building management, administration or maintenance in support of the residents.</t>
  </si>
  <si>
    <t>Footnote 2 - 3.2</t>
  </si>
  <si>
    <r>
      <t xml:space="preserve"> 3.2.1 ERI and Prescriptive: Specified ceiling </t>
    </r>
    <r>
      <rPr>
        <vertAlign val="superscript"/>
        <sz val="12"/>
        <color theme="1"/>
        <rFont val="Arial"/>
        <family val="2"/>
      </rPr>
      <t>6</t>
    </r>
    <r>
      <rPr>
        <sz val="12"/>
        <color theme="1"/>
        <rFont val="Arial"/>
        <family val="2"/>
      </rPr>
      <t xml:space="preserve">, wall </t>
    </r>
    <r>
      <rPr>
        <vertAlign val="superscript"/>
        <sz val="12"/>
        <color theme="1"/>
        <rFont val="Arial"/>
        <family val="2"/>
      </rPr>
      <t>7</t>
    </r>
    <r>
      <rPr>
        <sz val="12"/>
        <color theme="1"/>
        <rFont val="Arial"/>
        <family val="2"/>
      </rPr>
      <t xml:space="preserve">, and slab-on-grade insulation levels meet or exceed ENERGY STAR MF Reference Design requirements. </t>
    </r>
    <r>
      <rPr>
        <vertAlign val="superscript"/>
        <sz val="12"/>
        <color theme="1"/>
        <rFont val="Arial"/>
        <family val="2"/>
      </rPr>
      <t xml:space="preserve">8, 9, 10
</t>
    </r>
  </si>
  <si>
    <t>Footnote 6 - 3.2.1</t>
  </si>
  <si>
    <t>Footnote 7 - 3.2.1</t>
  </si>
  <si>
    <t>Footnote 8 - 3.2.1</t>
  </si>
  <si>
    <t>Footnote 9 - 3.2.1</t>
  </si>
  <si>
    <t>Footnote 10 - 3.2.1</t>
  </si>
  <si>
    <r>
      <t xml:space="preserve"> 3.2.2 ASHRAE Only: Specified ceiling </t>
    </r>
    <r>
      <rPr>
        <vertAlign val="superscript"/>
        <sz val="12"/>
        <color theme="1"/>
        <rFont val="Arial"/>
        <family val="2"/>
      </rPr>
      <t>6</t>
    </r>
    <r>
      <rPr>
        <sz val="12"/>
        <color theme="1"/>
        <rFont val="Arial"/>
        <family val="2"/>
      </rPr>
      <t xml:space="preserve">, wall </t>
    </r>
    <r>
      <rPr>
        <vertAlign val="superscript"/>
        <sz val="12"/>
        <color theme="1"/>
        <rFont val="Arial"/>
        <family val="2"/>
      </rPr>
      <t>7</t>
    </r>
    <r>
      <rPr>
        <sz val="12"/>
        <color theme="1"/>
        <rFont val="Arial"/>
        <family val="2"/>
      </rPr>
      <t xml:space="preserve">, floor, and slab-on-grade insulation levels meet or exceed the values from the "All Other" column in the 2009 IECC Commercial chapter. </t>
    </r>
    <r>
      <rPr>
        <vertAlign val="superscript"/>
        <sz val="12"/>
        <color theme="1"/>
        <rFont val="Arial"/>
        <family val="2"/>
      </rPr>
      <t xml:space="preserve">8, 9, 10
</t>
    </r>
  </si>
  <si>
    <t>Footnote 6 - 3.2.2</t>
  </si>
  <si>
    <t>Footnote 7 - 3.2.2</t>
  </si>
  <si>
    <t>Footnote 8 - 3.2.2</t>
  </si>
  <si>
    <t>Footnote 9 - 3.2.2</t>
  </si>
  <si>
    <t>Footnote 10 - 3.2.2</t>
  </si>
  <si>
    <r>
      <t>4. Review of HVAC Design Report</t>
    </r>
    <r>
      <rPr>
        <vertAlign val="superscript"/>
        <sz val="12"/>
        <color theme="1"/>
        <rFont val="Arial"/>
        <family val="2"/>
      </rPr>
      <t xml:space="preserve">
</t>
    </r>
  </si>
  <si>
    <r>
      <t xml:space="preserve">4a. Review of ANSI / RESNET / ACCA Std. 310 HVAC Design Report with ENERGY STAR MFNC Supplement </t>
    </r>
    <r>
      <rPr>
        <b/>
        <vertAlign val="superscript"/>
        <sz val="12"/>
        <color theme="1"/>
        <rFont val="Arial"/>
        <family val="2"/>
      </rPr>
      <t>3</t>
    </r>
  </si>
  <si>
    <t>4a</t>
  </si>
  <si>
    <t xml:space="preserve">
Footnote 3. Path A – Dwelling Unit HVAC Grading shall not be used until an Effective Date has been defined by RESNET for ANSI / RESNET / ACCA Std. 310. Path A – Dwelling Unit HVAC Grading shall then use ANSI / RESNET / ACCA Std. 310 including all Addenda and Normative Appendices, with new versions and Addenda implemented according to the Effective Date and Transition Period End Date defined by RESNET. RESNET interpretations of Standard 310 shall also be followed.</t>
  </si>
  <si>
    <t>Footnote 3 - 4a</t>
  </si>
  <si>
    <t>4a.1 HVAC design report compliant with ANSI / RESNET / ACCA Std. 310, with the ENERGY STAR MFNC supplement, collected for records, with no Items left blank.</t>
  </si>
  <si>
    <t>4a.2 ANSI / RESNET / ACCA Std. 310 Rater Design Review Checklist completed for applicable housing type, with all items marked, “Rater Verified”.</t>
  </si>
  <si>
    <r>
      <t xml:space="preserve">4a.3 Prescriptive Path: Dwelling Unit Mechanical Ventilation is &lt;150% of ASHRAE 62.2-2013 requirements. </t>
    </r>
    <r>
      <rPr>
        <vertAlign val="superscript"/>
        <sz val="12"/>
        <color theme="1"/>
        <rFont val="Arial"/>
        <family val="2"/>
      </rPr>
      <t>11</t>
    </r>
  </si>
  <si>
    <t xml:space="preserve">
Footnote 11. Raters may use this table to determine the maximum ventilation rate allowed.
REFER TO TABLE IN REFERENCE TABLES TAB</t>
  </si>
  <si>
    <t>Footnote 11 - 4a.3</t>
  </si>
  <si>
    <r>
      <t xml:space="preserve">4a.4 Total occupant gains do not exceed 645 Btuh per occupant. </t>
    </r>
    <r>
      <rPr>
        <vertAlign val="superscript"/>
        <sz val="12"/>
        <color theme="1"/>
        <rFont val="Arial"/>
        <family val="2"/>
      </rPr>
      <t>12</t>
    </r>
  </si>
  <si>
    <t xml:space="preserve">
Footnote 12. To determine the number of occupants among all HVAC systems in the dwelling unit, calculate the number of bedrooms, as defined below, and add one. The number of occupants used in loads must be within ± 2 of the dwelling unit to be certified.
A bedroom is defined by ANSI / RESNET / ICC Standard 301-2014 as a room or space 70 sq. ft. or greater size, with egress window and closet, used or intended to be used for sleeping. A “den”, “library”, or “home office” with a closet, egress window, and 70 sq. ft. or greater size or other similar rooms shall count as a bedroom, but living rooms and foyers shall not.
An egress window, as defined in 2009 IRC Section R310, shall refer to any operable window that provides for a means of escape and access for rescue in the event of an emergency. The egress window definition has been summarized for convenience. The egress window shall:
•have a sill height of not more than 44 inches above the floor; AND
•have a minimum net clear opening of 5.7 sq. ft.; AND
•have a minimum net clear opening height of 24 in.; AND
•have a minimum net clear opening width of 20 in.; AND
•be operational from the inside of the room without the use of keys, tools or special knowledge.</t>
  </si>
  <si>
    <t>Footnote 12 - 4a.4</t>
  </si>
  <si>
    <t>4a.5 Non-occupant internal gains are less than 3,600 Btuh.</t>
  </si>
  <si>
    <t>4a.6 Cooling sizing % is within the cooling sizing limit selected by the HVAC designer.</t>
  </si>
  <si>
    <r>
      <t xml:space="preserve">4b. Review of ENERGY STAR MFNC National HVAC Design Report </t>
    </r>
    <r>
      <rPr>
        <sz val="12"/>
        <color theme="1"/>
        <rFont val="Arial"/>
        <family val="2"/>
      </rPr>
      <t>(National HVAC Design Report Item # indicatd in parenthesis)</t>
    </r>
  </si>
  <si>
    <t>4b</t>
  </si>
  <si>
    <t>4b.1 National HVAC Design Report collected for records, with no Items left blank.</t>
  </si>
  <si>
    <t>4b.2 National HVAC Design Report reviewed by Rater for the following parameters (National HVAC Design Report Item # indicated in parenthesis): </t>
  </si>
  <si>
    <r>
      <t xml:space="preserve"> 4b.2.1 Prescriptive Path: Dwelling Unit Mechanical Ventilation (2.7) is &lt;150% of ASHRAE 62.2-2013 requirements. </t>
    </r>
    <r>
      <rPr>
        <vertAlign val="superscript"/>
        <sz val="12"/>
        <color theme="1"/>
        <rFont val="Arial"/>
        <family val="2"/>
      </rPr>
      <t xml:space="preserve">11
</t>
    </r>
  </si>
  <si>
    <t xml:space="preserve">
Footnote 11. Raters may use this table to determine the maximum ventilation rate allowed. 
SEE TABLE IN REFERENCE TABLES TAB</t>
  </si>
  <si>
    <t>Footnote 11 - 4b.2.1</t>
  </si>
  <si>
    <r>
      <t xml:space="preserve"> 4b.2.2 Cooling season and heating season outdoor design temperatures used in loads (3.4) are within the limits defined for the State and County where the building will be built, or the designer has provided an allowance from EPA to use alternative values. All limits are published at www.energystar.gov/hvacdesigntemps. Note that revised (i.e., 2019 Edition) limits are required to be used for all HVAC Design Reports generated after 07/01/2020. </t>
    </r>
    <r>
      <rPr>
        <vertAlign val="superscript"/>
        <sz val="12"/>
        <color theme="1"/>
        <rFont val="Arial"/>
        <family val="2"/>
      </rPr>
      <t>14</t>
    </r>
  </si>
  <si>
    <r>
      <t xml:space="preserve">
Footnote 14. Visit </t>
    </r>
    <r>
      <rPr>
        <sz val="12"/>
        <color rgb="FF0433FF"/>
        <rFont val="Arial"/>
        <family val="2"/>
      </rPr>
      <t>www.energystar.gov/hvacdesigntemps</t>
    </r>
    <r>
      <rPr>
        <sz val="12"/>
        <color theme="0" tint="-0.499984740745262"/>
        <rFont val="Arial"/>
        <family val="2"/>
      </rPr>
      <t xml:space="preserve"> for the maximum cooling season design temperature and minimum heating season design temperature permitted and the process for a designer to obtain an allowance from EPA. The same design report is permitted to be used in other counties, as long as the design temperature limits in those other counties meet or exceed the cooling and heating season temperature limits for the county selected. For example, if Fauquier County, VA, is used for the load calculations, with a 1% cooling temperature limit of 93 °F, then the same report could be used in Fairfax County (which has a higher limit of 94 °F) but not in Arlington County (which has a lower limit of 92 °F).</t>
    </r>
  </si>
  <si>
    <t>Footnote 14 - 4b.2.2</t>
  </si>
  <si>
    <r>
      <t xml:space="preserve"> 4b.2.3 Number of occupants used in loads (3.6) is within ± 2 of the dwelling unit to be certified and occupant gains (3.7) do not exceed 645 Btuh per occupant. </t>
    </r>
    <r>
      <rPr>
        <vertAlign val="superscript"/>
        <sz val="12"/>
        <color theme="1"/>
        <rFont val="Arial"/>
        <family val="2"/>
      </rPr>
      <t xml:space="preserve">12
</t>
    </r>
  </si>
  <si>
    <t>Footnote 12 - 4b.2.3</t>
  </si>
  <si>
    <r>
      <t xml:space="preserve"> 4b.2.4 Conditioned floor area used in loads (3.8) is between 100 sq. ft. smaller and 300 sq. ft. larger than the dwelling unit to be certified. </t>
    </r>
    <r>
      <rPr>
        <vertAlign val="superscript"/>
        <sz val="12"/>
        <color theme="1"/>
        <rFont val="Arial"/>
        <family val="2"/>
      </rPr>
      <t>15</t>
    </r>
  </si>
  <si>
    <t xml:space="preserve">
Footnote 15. Conditioned Floor Area for the dwelling unit to be certified shall be calculated in accordance with the definition in ANSI / RESNET / ICC Standard 301-2019.</t>
  </si>
  <si>
    <t>Footnote 15 - 4b.2.4</t>
  </si>
  <si>
    <r>
      <t xml:space="preserve"> 4b.2.5 Window area used in loads (3.9) is between 15 sq. ft. smaller and 60 sq. ft. larger than the dwelling unit to be certified, or for dwelling units to be certified with &gt; 500 sq. ft. of window area, between 3% smaller and 12% larger. </t>
    </r>
    <r>
      <rPr>
        <vertAlign val="superscript"/>
        <sz val="12"/>
        <color theme="1"/>
        <rFont val="Arial"/>
        <family val="2"/>
      </rPr>
      <t>16</t>
    </r>
  </si>
  <si>
    <t xml:space="preserve">
Footnote 16. Window area for the dwelling unit to be certified shall be calculated in accordance with the on-site inspection protocol provided in Normative Appendix B of ANSI / RESNET / ICC Standard 301-2019.</t>
  </si>
  <si>
    <t>Footnote 16 - 4b.2.5</t>
  </si>
  <si>
    <r>
      <t xml:space="preserve"> 4b.2.6 Predominant window SHGC used in loads (3.10) is within 0.1 of predominant value in the dwelling unit to be certified. </t>
    </r>
    <r>
      <rPr>
        <vertAlign val="superscript"/>
        <sz val="12"/>
        <color theme="1"/>
        <rFont val="Arial"/>
        <family val="2"/>
      </rPr>
      <t xml:space="preserve">17
</t>
    </r>
  </si>
  <si>
    <t xml:space="preserve">
Footnote 17. “Predominant” is defined as the SHGC value used in the greatest amount of window area in the dwelling unit.</t>
  </si>
  <si>
    <t>Footnote 17 - 4b.2.6</t>
  </si>
  <si>
    <t xml:space="preserve"> 4b.2.7 Mechanical ventilation used in loads (3.12) is the same as the ventilation design (2.7) for the given unit plan.</t>
  </si>
  <si>
    <t xml:space="preserve"> 4b.2.8 Non-occupant internal gains (3.13) are less than 3,600 Btuh.</t>
  </si>
  <si>
    <r>
      <t xml:space="preserve"> 4b.2.9 Sensible &amp; total heat gain are documented (3.14, 3.16) for the orientation of the dwelling unit to be certified. </t>
    </r>
    <r>
      <rPr>
        <vertAlign val="superscript"/>
        <sz val="12"/>
        <color theme="1"/>
        <rFont val="Arial"/>
        <family val="2"/>
      </rPr>
      <t xml:space="preserve">18
</t>
    </r>
  </si>
  <si>
    <t>Footnote 18. Orientation represents the direction that the front door of the dwelling unit is facing. The designer is only required to document the loads for the orientation(s) that the dwelling unit might be built in. For example, if a unit plan will only be built in a specific orientation (e.g., facing South), then the designer only needs to document the loads for this one orientation.</t>
  </si>
  <si>
    <t>Footnote 18 - 4b.2.9</t>
  </si>
  <si>
    <t xml:space="preserve"> 4b.2.10 Cooling sizing % (4.18) is within the cooling sizing limit (4.19) selected by the HVAC designer.</t>
  </si>
  <si>
    <t>5. Additional Construction Document Review</t>
  </si>
  <si>
    <t>Optional</t>
  </si>
  <si>
    <t>5.1 Air Sealing: Review construction documents to verify that air-sealing details at assemblies adjacent to exterior and unconditioned spaces are represented which, at a minimum, demonstrate compliance with checklist items in Section 4 of the National Rater Field Checklist (noted with an asterisk below). Items 5.1.9 and 5.1.10 are not verified by the Rater in the field, but are recommended.</t>
  </si>
  <si>
    <t xml:space="preserve"> 5.1.1 Ducts, flues, shafts, plumbing, piping, wiring, exhaust fans, &amp; other penetrations to unconditioned space sealed, with blocking / flashing as needed*.</t>
  </si>
  <si>
    <t xml:space="preserve"> 5.1.2 Recessed lighting fixtures adjacent to unconditioned space ICAT labeled and gasketed. Also, if in insulated ceiling without attic above, exterior surface of fixture insulated to ≥ R-10 in CZ 4-8*.</t>
  </si>
  <si>
    <t xml:space="preserve"> 5.1.3 Continuous top plate or blocking is at top of walls adjoining unconditioned space including at balloon-framed parapets, and sealed*.</t>
  </si>
  <si>
    <t xml:space="preserve"> 5.1.4 Drywall sealed to top plate at all unconditioned attic / wall interfaces using caulk, foam, drywall adhesive (but not other construction adhesives), or equivalent material. Either apply sealant directly between drywall and top plate or to the seam between the two from the attic above*.</t>
  </si>
  <si>
    <r>
      <t xml:space="preserve"> 5.1.5 Rough opening around windows &amp; exterior doors sealed*. </t>
    </r>
    <r>
      <rPr>
        <vertAlign val="superscript"/>
        <sz val="12"/>
        <color theme="1"/>
        <rFont val="Arial"/>
        <family val="2"/>
      </rPr>
      <t xml:space="preserve">19
</t>
    </r>
  </si>
  <si>
    <t xml:space="preserve">
Footnote 19. In Climate Zones 1 through 3, a continuous stucco cladding system sealed to windows and doors is permitted to be used in lieu of sealing rough openings with caulk or foam.</t>
  </si>
  <si>
    <t>Footnote 19 - 5.1.5</t>
  </si>
  <si>
    <r>
      <t xml:space="preserve"> 5.1.6 Assemblies that separate attached garages from occupiable space sealed and, also, an air barrier installed, sealed, and aligned with these assemblies*. </t>
    </r>
    <r>
      <rPr>
        <vertAlign val="superscript"/>
        <sz val="12"/>
        <color theme="1"/>
        <rFont val="Arial"/>
        <family val="2"/>
      </rPr>
      <t>20</t>
    </r>
  </si>
  <si>
    <t xml:space="preserve">
Footnote 20. For dwelling or sleeping units adjacent to garages, EPA recommends, but does not require, carbon monoxide (CO) alarms installed in a central location in the immediate vicinity of each separate sleeping zone and according to NFPA 720.</t>
  </si>
  <si>
    <t>Footnote 20 - 5.1.6</t>
  </si>
  <si>
    <r>
      <t xml:space="preserve"> 5.1.7 Attic access panels, roof hatches and drop-down stairs are gasketed (i.e., not caulked) or equipped with durable covers that are gasketed*. </t>
    </r>
    <r>
      <rPr>
        <vertAlign val="superscript"/>
        <sz val="12"/>
        <color theme="1"/>
        <rFont val="Arial"/>
        <family val="2"/>
      </rPr>
      <t xml:space="preserve">21
</t>
    </r>
  </si>
  <si>
    <t xml:space="preserve">
Footnote 21. Examples of durable covers include, but are not limited to, pre-fabricated covers with integral insulation, rigid foam adhered to cover with adhesive, or batt insulation mechanically fastened to the cover (e.g., using bolts, metal wire, or metal strapping).</t>
  </si>
  <si>
    <t>Footnote 21 - 5.1.7</t>
  </si>
  <si>
    <t xml:space="preserve"> 5.1.8 Doors adjacent to unconditioned space (e.g., attics, garages, basements), ambient conditions, or a unit entrance to a corridor / stairwell, made substantially air-tight with doorsweep and weatherstripping or equivalent gasket*.</t>
  </si>
  <si>
    <r>
      <t xml:space="preserve"> 5.1.9 Above-grade sill plates adjacent to conditioned space sealed to foundation or sub-floor. Gasket also placed beneath above-grade sill plate if resting atop concrete / masonry &amp; adjacent to conditioned space. </t>
    </r>
    <r>
      <rPr>
        <vertAlign val="superscript"/>
        <sz val="12"/>
        <color theme="1"/>
        <rFont val="Arial"/>
        <family val="2"/>
      </rPr>
      <t xml:space="preserve">22, 23
</t>
    </r>
  </si>
  <si>
    <t xml:space="preserve">
Footnote 22. Existing sill plates (e.g., in a building undergoing a gut rehabilitation) on the interior side of structural masonry or monolithic walls may not be able to complete this Item. In addition, other existing sill plates resting atop concrete or masonry and adjacent to conditioned space can in lieu of using a gasket, be sealed with caulk, foam, or equivalent material at both the interior seam between the sill plate and the subfloor and the seam between the top of the sill plate and the sheathing.</t>
  </si>
  <si>
    <t>Footnote 22 - 5.1.9</t>
  </si>
  <si>
    <t>Footnote 23. In Climate Zones 1 through 3, a continuous stucco cladding system adjacent to sill and bottom plates is an alternate option of sealing plates to foundation or sub-floor with caulk, foam, or equivalent material.</t>
  </si>
  <si>
    <t>Footnote 23 - 5.1.9</t>
  </si>
  <si>
    <t xml:space="preserve"> 5.1.10 The gap between the common wall (e.g., the drywall shaft wall) and the structural framing between units sealed at all exterior boundaries.</t>
  </si>
  <si>
    <t>5.2 Dwelling Unit Compartmentalization</t>
  </si>
  <si>
    <r>
      <t xml:space="preserve"> 5.2.1 Review construction documents to verify that air-sealing details </t>
    </r>
    <r>
      <rPr>
        <vertAlign val="superscript"/>
        <sz val="12"/>
        <color theme="1"/>
        <rFont val="Arial"/>
        <family val="2"/>
      </rPr>
      <t>24</t>
    </r>
    <r>
      <rPr>
        <sz val="12"/>
        <color theme="1"/>
        <rFont val="Arial"/>
        <family val="2"/>
      </rPr>
      <t xml:space="preserve"> are represented such that air exchange between the dwelling unit and outside as well as the dwelling unit and other adjacent spaces is minimized and designed to achieve compartmentalization less than or equal to 0.30 CFM50 per square feet of dwelling unit enclosure area, following procedures in ANSI / RESNET / ICC Std. 380.
</t>
    </r>
  </si>
  <si>
    <t xml:space="preserve">
Footnote 24. Recommended air leakage paths to be sealed include, but are not limited to the following:
a. Plumbing penetrations, including those from water piping, drain waste and vent piping, HVAC piping, and gas line piping.
b. Electrical penetrations, including those for receptacle outlets, lighting outlets / fixtures, communications wiring, thermostats, and smoke alarms.
c. HVAC penetrations, including those for fans and for exhaust, supply, transfer, and return air ducts.
d. Envelope penetrations, including at the intersection of baseboard trim and floor, at the intersection of walls and ceilings, around window trim and dwelling unit doors, including the door latch hole.</t>
  </si>
  <si>
    <t>Footnote 24 - 5.2.1</t>
  </si>
  <si>
    <t xml:space="preserve"> 5.2.2 Seal all spaces 5.1.1-5.1.10 on adiabatic unit enclosure assemblies.</t>
  </si>
  <si>
    <r>
      <t xml:space="preserve">5.3 Prescriptive Path: Verify that Window-to-wall ratio ≤ 30%. </t>
    </r>
    <r>
      <rPr>
        <vertAlign val="superscript"/>
        <sz val="12"/>
        <color theme="1"/>
        <rFont val="Arial"/>
        <family val="2"/>
      </rPr>
      <t xml:space="preserve">25
</t>
    </r>
  </si>
  <si>
    <t xml:space="preserve">
Footnote 25. Window-to-Wall ratio is taken as the sum of all window area divided by the total exterior above-grade wall area. All decorative glass and skylight window area contribute to the total window area to above-grade wall ratio (WWR). Spandrel sections of curtain wall systems contribute to the above-grade wall area.</t>
  </si>
  <si>
    <t>Footnote 25 - 5.3</t>
  </si>
  <si>
    <t>5.4 Verify that fully-aligned air barrier details are in compliance with checklist items in Section 2 of the National Rater Field Checklist.</t>
  </si>
  <si>
    <t>5.5 Verify that thermal bridging details are in compliance with checklist items in Section 3 of the National Rater Field Checklist.</t>
  </si>
  <si>
    <t>5.6 Verify that HVAC details are in compliance with checklist items in Sections 5 - 10 of the National Rater Field Checklist.</t>
  </si>
  <si>
    <t xml:space="preserve"> 5.6.1 Verify that HVAC design includes access and means to measure the dwelling-unit mechanical ventilation airflow rate.</t>
  </si>
  <si>
    <t xml:space="preserve"> 5.6.2 Verify that bedrooms with design airflow ≥ 150 CFM are specified with a combination of transfer grilles, jump ducts dedicated return ducts, and/or undercut doors to achieve a Rater-measured pressure differential ≥ -5 Pa and ≤ +5 Pa with respect to the main body of the dwelling unit when all air handlers are operating.</t>
  </si>
  <si>
    <r>
      <t xml:space="preserve"> 5.6.3 Verify that Functional Testing Agent(s) hold credential required to complete the applicable sections of the National HVAC Functional Testing Checklist for all HVAC equipment in the building. For Path A, a Functional Testing Agent is not needed to complete Sections 2 and 3 for unitary HVAC systems serving dwelling units that will be verified and graded by the Rater. </t>
    </r>
    <r>
      <rPr>
        <vertAlign val="superscript"/>
        <sz val="12"/>
        <color theme="1"/>
        <rFont val="Arial"/>
        <family val="2"/>
      </rPr>
      <t xml:space="preserve">26
</t>
    </r>
  </si>
  <si>
    <t xml:space="preserve">
Footnote 26. Functional Testing Agents must hold an approved credential, as listed at www.energystar.gov/ftas, or must be a representative of the Original Equipment Manufacturer (OEM), or a contractor credentialed by an HVAC Quality Installation Training and Oversight Organization (H-QUITO), if not completing Sections 6 and higher. Functional Testing Agents may not be the installing contractor unless they are a credentialed contractor. An explanation of the credentialing process and links to H-QUITOs, which maintain lists of credentialed contractors, can be found at www.energystar.gov/findhvac. A directory of other FT Agents can be found at www.energystar.gov/ftas.</t>
  </si>
  <si>
    <t>Footnote 26 - 5.6.3</t>
  </si>
  <si>
    <t>5.7 Verify that Domestic Hot Water, Lighting, Appliances, Plumbing Fixtures, and Whole Building Utility Data Acquisition Strategy details are in compliance with checklist items in Sections 11 – 14 of the National Rater Field Checklist.</t>
  </si>
  <si>
    <t xml:space="preserve">
</t>
  </si>
  <si>
    <t>Rater Name:</t>
  </si>
  <si>
    <t xml:space="preserve">Date of Review: </t>
  </si>
  <si>
    <t xml:space="preserve">Rater Signature: </t>
  </si>
  <si>
    <r>
      <t xml:space="preserve">Rater Field Review Checklist </t>
    </r>
    <r>
      <rPr>
        <b/>
        <vertAlign val="superscript"/>
        <sz val="18"/>
        <color theme="0"/>
        <rFont val="Arial"/>
        <family val="2"/>
      </rPr>
      <t>1</t>
    </r>
  </si>
  <si>
    <t>Construction Verification</t>
  </si>
  <si>
    <r>
      <t>Builder Verified</t>
    </r>
    <r>
      <rPr>
        <b/>
        <vertAlign val="superscript"/>
        <sz val="12"/>
        <rFont val="Arial"/>
        <family val="2"/>
      </rPr>
      <t xml:space="preserve"> 3</t>
    </r>
  </si>
  <si>
    <r>
      <t xml:space="preserve">LP Verified </t>
    </r>
    <r>
      <rPr>
        <b/>
        <vertAlign val="superscript"/>
        <sz val="12"/>
        <rFont val="Arial"/>
        <family val="2"/>
      </rPr>
      <t>39</t>
    </r>
  </si>
  <si>
    <r>
      <t xml:space="preserve">Rater Verified </t>
    </r>
    <r>
      <rPr>
        <b/>
        <vertAlign val="superscript"/>
        <sz val="12"/>
        <rFont val="Arial"/>
        <family val="2"/>
      </rPr>
      <t>4</t>
    </r>
  </si>
  <si>
    <r>
      <t xml:space="preserve">N/A </t>
    </r>
    <r>
      <rPr>
        <b/>
        <vertAlign val="superscript"/>
        <sz val="12"/>
        <rFont val="Arial"/>
        <family val="2"/>
      </rPr>
      <t>5</t>
    </r>
  </si>
  <si>
    <r>
      <t xml:space="preserve">Footnote 1. This Checklist applies to all dwelling units, sleeping units, common spaces </t>
    </r>
    <r>
      <rPr>
        <vertAlign val="superscript"/>
        <sz val="12"/>
        <color theme="0" tint="-0.499984740745262"/>
        <rFont val="Arial"/>
        <family val="2"/>
      </rPr>
      <t>2</t>
    </r>
    <r>
      <rPr>
        <sz val="12"/>
        <color theme="0" tint="-0.499984740745262"/>
        <rFont val="Arial"/>
        <family val="2"/>
      </rPr>
      <t xml:space="preserve">, and garages (open or enclosed) in the building being certified, and where specified, parking lots. These requirements do not apply to parking garages or lots where the cost of the energy use of the parking garage or lot is not the responsibility of the Builder/Developer, Building Owner or Property Manager. This Checklist does not apply to commercial or retail spaces. This Checklist does not apply to common spaces </t>
    </r>
    <r>
      <rPr>
        <vertAlign val="superscript"/>
        <sz val="12"/>
        <color theme="0" tint="-0.499984740745262"/>
        <rFont val="Arial"/>
        <family val="2"/>
      </rPr>
      <t>2</t>
    </r>
    <r>
      <rPr>
        <sz val="12"/>
        <color theme="0" tint="-0.499984740745262"/>
        <rFont val="Arial"/>
        <family val="2"/>
      </rPr>
      <t xml:space="preserve"> that are located in buildings on the property without any dwelling or sleeping units. The term ‘sleeping unit’ refers to a room or space in which people sleep, which can also include permanent provisions for living, eating, and either sanitation or kitchen facilities but not both. Where the term ‘dwelling unit’ is used in this Checklist, the requirement is also required of ‘sleeping’ units. The term ‘building’ refers to a structure utilized or intended for supporting or sheltering occupancy for a residential purpose; a structure with no dwelling or sleeping units connected to a structure with dwelling or sleeping units by less than 10% of its exterior wall area is not to be included in the ‘building’.</t>
    </r>
  </si>
  <si>
    <t>Footnote 2. The term ‘common space’ refers to any spaces in the building being certified that serve a function in support of the residential part of the building that is not part of a dwelling or sleeping unit.  This includes spaces used by residents, such as corridors, stairs, lobbies, laundry rooms, exercise rooms, residential recreation rooms, and dining halls, as well as offices and other spaces used by building management, administration or maintenance in support of the residents.</t>
  </si>
  <si>
    <t>Footnote 2 - Checklist</t>
  </si>
  <si>
    <t>Footnote 3. At the discretion of the Rater, the builder or developer may verify up to eight items in Sections 1-4 of this Checklist. For the purpose of this Checklist, “Builder” represents either the builder or the developer. When exercised, the builder’s responsibility will be formally acknowledged by the builder, or their designated agent, signing off on the checklist for the item(s) that they verified. However, if a quality assurance review indicates that Items have not been successfully completed, the Rater will be responsible for facilitating corrective action.</t>
  </si>
  <si>
    <t>Footnote 3 - Checklist</t>
  </si>
  <si>
    <t xml:space="preserve">Footnote 4. The term ‘Rater’ refers to the person(s) completing the third-party verification required for certification. The person(s) shall: a) be a Certified Rater, Approved Inspector, or an equivalent designation as determined by a Verification Oversight Organization or Multifamily Review Organization and, b) have attended and successfully completed an EPA-recognized training class. See www.energystar.gov/mftraining.  </t>
  </si>
  <si>
    <t>Footnote 5. The column titled “N/A,” which denotes items that are “not applicable,” should be used when the checklist Item is not present in the project or conflicts with local requirements.</t>
  </si>
  <si>
    <t>Footnote 5 - Checklist</t>
  </si>
  <si>
    <t>Footnote 44. At the discretion of the Rater, a Licensed Professional (LP), (i.e., a Registered Architect or Professional Engineer in good standing and with a current license), may verify any of the items in Sections 5, 11, and 12 of this Checklist, where a checkbox is provided for “LP Verified”. When exercised, the LP’s responsibility will be formally acknowledged by the LP signing off on the checklist for the item(s) that they verified. However, if a quality assurance review indicates that Items have not been successfully completed, the Rater will be responsible for facilitating corrective action.</t>
  </si>
  <si>
    <t>Footnote 44 - Checklist</t>
  </si>
  <si>
    <t>Thermal Enclosure System </t>
  </si>
  <si>
    <t>1. High-Performance Fenestration &amp; Insulation </t>
  </si>
  <si>
    <t>1.1 Fenestration meets or exceeds specification in Items 2.1 and 2.2 of the National Rater Design Review Checklist.</t>
  </si>
  <si>
    <t>-</t>
  </si>
  <si>
    <t>1.2 Insulation meets or exceeds levels specified in Items 3.1 and 3.2 of the National Rater Design Review Checklist.</t>
  </si>
  <si>
    <r>
      <t xml:space="preserve">1.3 All insulation achieves Grade I install per ANSI / RESNET / ICC Std. 301. Alternatives in footnote 6. </t>
    </r>
    <r>
      <rPr>
        <vertAlign val="superscript"/>
        <sz val="12"/>
        <color theme="1"/>
        <rFont val="Arial"/>
        <family val="2"/>
      </rPr>
      <t>6,7</t>
    </r>
  </si>
  <si>
    <t>Footnote 6. Two alternatives are provided: a) Grade II cavity insulation is permitted to be used for assemblies that contain a layer of continuous, air impermeable insulation ≥ R-3 in Climate Zones 1 to 4, ≥ R-5 in Climate Zones 5 to 8; b) Grade II batts are permitted to be used in floors if they fill the full width and depth of the floor cavity, even when compression occurs due to excess insulation, as long as the R-value of the batts has been appropriately assessed based on manufacturer guidance and the only defect preventing the insulation from achieving Grade I is the compression caused by the excess insulation.</t>
  </si>
  <si>
    <t>Footnote 6 - 1.3</t>
  </si>
  <si>
    <t>Footnote 7. Ensure compliance with this requirement using ANSI / RESNET / ICC Std. 301 including all Addenda and Normative Appendices, with new versions and Addenda implemented according to the Effective Date and Transition Period End Date defined by RESNET. RESNET interpretations of Standard 301 shall also be followed.</t>
  </si>
  <si>
    <t>Footnote 7 - 1.3</t>
  </si>
  <si>
    <r>
      <t xml:space="preserve">1.4 Prescriptive Path: Window-to-wall ratio ≤ 30%. </t>
    </r>
    <r>
      <rPr>
        <vertAlign val="superscript"/>
        <sz val="12"/>
        <color theme="1"/>
        <rFont val="Arial"/>
        <family val="2"/>
      </rPr>
      <t>8</t>
    </r>
  </si>
  <si>
    <t>Footnote 8. Window-to-Wall ratio is taken as the sum of all window area divided by the total exterior above-grade wall area. All decorative glass and skylight window area contribute to the total window area to above-grade wall ratio (WWR). Spandrel sections of curtain wall systems contribute to the above-grade wall area.</t>
  </si>
  <si>
    <t>Footnote 8 - 1.4</t>
  </si>
  <si>
    <r>
      <t xml:space="preserve">1.5 Heated plenums in unconditioned space or ambient conditions must meet the following requirements: </t>
    </r>
    <r>
      <rPr>
        <vertAlign val="superscript"/>
        <sz val="12"/>
        <color theme="1"/>
        <rFont val="Arial"/>
        <family val="2"/>
      </rPr>
      <t>9</t>
    </r>
  </si>
  <si>
    <r>
      <t xml:space="preserve">Footnote 9. Compliance with Items 1.5 and 1.6 is not required for ASHRAE projects, but the energy used by the heating systems must be modeled following the requirements in the Simulation Guidelines, available at </t>
    </r>
    <r>
      <rPr>
        <sz val="12"/>
        <color rgb="FF0433FF"/>
        <rFont val="Arial"/>
        <family val="2"/>
      </rPr>
      <t>www.energystar.gov/mfguidance</t>
    </r>
    <r>
      <rPr>
        <sz val="12"/>
        <color theme="0" tint="-0.499984740745262"/>
        <rFont val="Arial"/>
        <family val="2"/>
      </rPr>
      <t>.</t>
    </r>
  </si>
  <si>
    <t>Footnote 9 - 1.5</t>
  </si>
  <si>
    <t xml:space="preserve"> 1.5.1 Sides of plenum are an air barrier and insulated to ≥ R-3ci in CZ 1-4; ≥ R-5ci in CZ 5-6; ≥ R-7.5ci in CZ 7; ≥ R-9.5ci in CZ 8, AND;</t>
  </si>
  <si>
    <t xml:space="preserve"> 1.5.2 Insulation at top of plenum meets or exceeds the R-value for mass floors from the “All Other” column of Table 502.2(1) of 2009 IECC, AND;</t>
  </si>
  <si>
    <r>
      <t xml:space="preserve"> 1.5.3 Bottom of plenum must have at least R-13 insulation. </t>
    </r>
    <r>
      <rPr>
        <vertAlign val="superscript"/>
        <sz val="12"/>
        <color theme="1"/>
        <rFont val="Arial"/>
        <family val="2"/>
      </rPr>
      <t>10</t>
    </r>
  </si>
  <si>
    <t>Footnote 10. The bottom of the plenum is permitted to be suspended ceiling tiles or other non-air barrier material. If fiberglass insulation is installed, it must be paper-faced.</t>
  </si>
  <si>
    <t>Footnote 10 - 1.5.3</t>
  </si>
  <si>
    <r>
      <t xml:space="preserve">1.6 Garages with space heating must meet the following requirements: </t>
    </r>
    <r>
      <rPr>
        <vertAlign val="superscript"/>
        <sz val="12"/>
        <color theme="1"/>
        <rFont val="Arial"/>
        <family val="2"/>
      </rPr>
      <t>9</t>
    </r>
  </si>
  <si>
    <t>Footnote 9 - 1.6</t>
  </si>
  <si>
    <t xml:space="preserve"> 1.6.1 Insulation on above grade walls and walls on the first story below grade ≥ R-5ci in CZ 5-6; ≥ R-7.5ci in CZ 7; ≥ R-9.5ci in CZ 8, AND;</t>
  </si>
  <si>
    <t xml:space="preserve"> 1.6.2 Garage ceiling insulation meets or exceeds the R-value for mass floors from the “All Other” column of Table 502.2(1) of 2009 IECC.</t>
  </si>
  <si>
    <r>
      <t xml:space="preserve">2. Fully-Aligned Air Barriers </t>
    </r>
    <r>
      <rPr>
        <vertAlign val="superscript"/>
        <sz val="12"/>
        <rFont val="Arial"/>
        <family val="2"/>
      </rPr>
      <t>11</t>
    </r>
    <r>
      <rPr>
        <sz val="12"/>
        <rFont val="Arial"/>
        <family val="2"/>
      </rPr>
      <t xml:space="preserve"> At each insulated location below, a complete air barrier is provided that is fully aligned as follows:</t>
    </r>
  </si>
  <si>
    <t>Footnote 11. For purposes of this Checklist, an air barrier is defined as any durable solid material that blocks air flow between conditioned space and unconditioned space, including necessary sealing to block excessive air flow at edges and seams and adequate support to resist positive and negative pressures without displacement or damage. EPA recommends, but does not require, rigid air barriers. 
Open-cell or closed-cell foam shall have a finished thickness ≥ 5.5 in. or 1.5 in., respectively, to qualify as an air barrier unless the manufacturer indicates otherwise.
If flexible air barriers such as house wrap are used, they shall be fully sealed at all seams and edges and supported using fasteners with caps or heads ≥ 1 in. diameter unless otherwise indicated by the manufacturer. Flexible air barriers shall not be made of kraft paper, paper-based products, or other materials that are easily torn. If polyethylene is used, its thickness shall be ≥ 6 mil.</t>
  </si>
  <si>
    <t>Footnote 11 - 2</t>
  </si>
  <si>
    <r>
      <rPr>
        <u/>
        <sz val="12"/>
        <color theme="1"/>
        <rFont val="Arial"/>
        <family val="2"/>
      </rPr>
      <t>Ceilings:</t>
    </r>
    <r>
      <rPr>
        <sz val="12"/>
        <color theme="1"/>
        <rFont val="Arial"/>
        <family val="2"/>
      </rPr>
      <t xml:space="preserve"> At interior or exterior horizontal surface of ceiling insulation in Climate Zones 1-3; at interior horizontal surface of ceiling insulation in Climate Zones 4-8. Also, at exterior vertical surface of ceiling insulation in all climate zones (e.g., using a wind baffle that extends to the full height of the insulation in every bay or a tabbed baffle in each bay with a soffit vent that prevents wind washing in adjacent bays). </t>
    </r>
    <r>
      <rPr>
        <vertAlign val="superscript"/>
        <sz val="12"/>
        <color theme="1"/>
        <rFont val="Arial"/>
        <family val="2"/>
      </rPr>
      <t>12</t>
    </r>
  </si>
  <si>
    <t>Section Details</t>
  </si>
  <si>
    <t>Footnote 12. All insulated ceiling surfaces, regardless of slope (e.g., cathedral ceilings, tray ceilings, conditioned attic roof decks, flat ceilings, sloped ceilings), must meet the requirements for ceilings, unless the ceiling is adiabatic.</t>
  </si>
  <si>
    <t>Footnote 12 - 2 Ceilings</t>
  </si>
  <si>
    <t>2.1 Dropped ceilings / soffits below unconditioned attics, chase / dead space, and all other ceilings.</t>
  </si>
  <si>
    <r>
      <rPr>
        <u/>
        <sz val="12"/>
        <color theme="1"/>
        <rFont val="Arial"/>
        <family val="2"/>
      </rPr>
      <t>Walls:</t>
    </r>
    <r>
      <rPr>
        <sz val="12"/>
        <color theme="1"/>
        <rFont val="Arial"/>
        <family val="2"/>
      </rPr>
      <t xml:space="preserve"> At exterior vertical surface of wall insulation in all climate zones; also at interior vertical surface of wall insulation in Climate Zones 4-8. </t>
    </r>
    <r>
      <rPr>
        <vertAlign val="superscript"/>
        <sz val="12"/>
        <color theme="1"/>
        <rFont val="Arial"/>
        <family val="2"/>
      </rPr>
      <t>13</t>
    </r>
  </si>
  <si>
    <t>Footnote 13. All insulated vertical surfaces are considered walls (e.g., above and below grade exterior walls, knee walls) and must meet the air barrier requirements for walls. The following exceptions apply: air barriers recommended, but not required, in adiabatic walls; and, in Climate Zones 4 through 8, an air barrier at the interior vertical surface of insulation is recommended but not required in basement walls or crawlspace walls. For the purpose of these exceptions, a basement or crawlspace is a space for which ≥ 40% of the total gross wall area is below-grade.</t>
  </si>
  <si>
    <t>Footnote 13 - 2 Walls</t>
  </si>
  <si>
    <t>2.2 Walls behind showers, tubs, staircases, and fireplaces.</t>
  </si>
  <si>
    <t>2.3 Architectural bump-outs, dead space, and all other exterior walls.</t>
  </si>
  <si>
    <r>
      <rPr>
        <u/>
        <sz val="12"/>
        <color theme="1"/>
        <rFont val="Arial"/>
        <family val="2"/>
      </rPr>
      <t>Floors:</t>
    </r>
    <r>
      <rPr>
        <sz val="12"/>
        <color theme="1"/>
        <rFont val="Arial"/>
        <family val="2"/>
      </rPr>
      <t xml:space="preserve"> At exterior vertical surface of floor insulation in all climate zones and, if over unconditioned space, also at interior horizontal surface including supports to ensure alignment. Alternatives in Footnotes 15 &amp; 16. </t>
    </r>
    <r>
      <rPr>
        <vertAlign val="superscript"/>
        <sz val="12"/>
        <color theme="1"/>
        <rFont val="Arial"/>
        <family val="2"/>
      </rPr>
      <t>14, 15, 16</t>
    </r>
  </si>
  <si>
    <t xml:space="preserve">Footnote 14. EPA highly recommends, but does not require, an air barrier at the interior vertical surface of floor insulation in Climate Zones 4-8. </t>
  </si>
  <si>
    <t>Footnote 14 - 2 Floors</t>
  </si>
  <si>
    <t>Footnote 15. Examples of supports necessary for permanent contact include staves for batt insulation or netting for blown-in insulation. Alternatively, supports are not required if batts fill the full depth of the floor cavity, even when compression occurs due to excess insulation, as long as the R-value of the batts has been appropriately assessed based on manufacturer guidance and the only defect preventing the insulation from achieving the required installation grade is the compression caused by the excess insulation.</t>
  </si>
  <si>
    <t>Footnote 15 - 2 Floors</t>
  </si>
  <si>
    <t xml:space="preserve">Footnote 16. Alternatively, an air barrier is permitted to be installed at the exterior horizontal surface of the floor insulation if the insulation is installed in contact with this air barrier, the exterior vertical surfaces of the floor cavity are also insulated, and air barriers are included at the exterior vertical surfaces of this insulation. </t>
  </si>
  <si>
    <t>Footnote 16 - 2 Floors</t>
  </si>
  <si>
    <t>2.4 Floors above garages, floors above unconditioned spaces, and cantilevered floors.</t>
  </si>
  <si>
    <t>2.5 All other floors adjoining unconditioned space (e.g., rim / band joists at exterior wall or at porch roof).</t>
  </si>
  <si>
    <t>3. Reduced Thermal Bridging</t>
  </si>
  <si>
    <r>
      <t xml:space="preserve">3.1 For insulated ceilings with attic space above (i.e., non-cathedralized), Grade I insulation extends to the inside face of the exterior wall below and is ≥ R-21 in CZ 1-5; ≥ R-30 in CZ 6-8. </t>
    </r>
    <r>
      <rPr>
        <vertAlign val="superscript"/>
        <sz val="12"/>
        <color theme="1"/>
        <rFont val="Arial"/>
        <family val="2"/>
      </rPr>
      <t>17</t>
    </r>
  </si>
  <si>
    <t>Footnote 17. The minimum designated R-values must be achieved regardless of the trade-offs determined using an equivalent U-factor or UA alternative calculation. 
Note that if the minimum designated values are used, then higher insulation values may be needed elsewhere to meet Item 1.2. Also, note that these requirements can be met by using any available strategy, such as a raised-heel truss, alternate framing that provides adequate space, and / or high-density insulation.</t>
  </si>
  <si>
    <t>Footnote 17 - 3.1</t>
  </si>
  <si>
    <r>
      <t xml:space="preserve">3.2 For insulated ceilings with attic space above, attic access panels and drop-down stairs insulated ≥ R-10 or equipped with durable ≥ R-10 cover. </t>
    </r>
    <r>
      <rPr>
        <vertAlign val="superscript"/>
        <sz val="12"/>
        <color theme="1"/>
        <rFont val="Arial"/>
        <family val="2"/>
      </rPr>
      <t>18</t>
    </r>
  </si>
  <si>
    <t>Footnote 18. Examples of durable covers include, but are not limited to, pre-fabricated covers with integral insulation, rigid foam adhered to cover with adhesive, or batt insulation mechanically fastened to the cover (e.g., using bolts, metal wire, or metal strapping. Low-slope roof hatch covers to be insulated to R-5 minimum.</t>
  </si>
  <si>
    <t>Footnote 18 - 3.2</t>
  </si>
  <si>
    <t>3.3 Insulation beneath attic platforms (e.g., HVAC platforms, walkways) ≥ R-21 in CZ 1-5; ≥ R-30 in CZ 6-8.</t>
  </si>
  <si>
    <r>
      <t xml:space="preserve">3.4 For slabs on grade in CZ 4-8, 100% of slab edge insulated to ≥ R-5 at the depth specified by Table 502.2(1) of the 2009 IECC and aligned with the thermal boundary of the walls. </t>
    </r>
    <r>
      <rPr>
        <vertAlign val="superscript"/>
        <sz val="12"/>
        <color theme="1"/>
        <rFont val="Arial"/>
        <family val="2"/>
      </rPr>
      <t>19, 20</t>
    </r>
  </si>
  <si>
    <t>Footnote 19. Consistent with the 2009 IECC, slab edge insulation is only required for slab-on-grade floors with a floor surface less than 24 inches below grade. Slab-on-grade perimeter insulation shall extend to the top of the slab to provide a complete thermal break. If the top edge of the insulation is installed between the exterior wall and the edge of the interior slab, it shall be permitted to be cut at a 45-degree angle away from the exterior wall. Alternatively, the thermal break is permitted to be created using ≥ R-3 rigid insulation on top of an existing slab (e.g., in a building undergoing a gut rehabilitation). In such cases, up to 10% of the slab surface is permitted to not be insulated (e.g., for sleepers, for sill plates). Insulation installed on top of slab shall be covered by a durable floor surface (e.g., hardwood, tile, carpet).</t>
  </si>
  <si>
    <t>Footnote 19 - 3.4</t>
  </si>
  <si>
    <t>Footnote 20. Where an insulated wall separates a garage, patio, porch, or other unconditioned space from the conditioned space of the building, slab perimeter insulation shall also be installed at this interface to provide a thermal break between the conditioned and unconditioned slab, if the slab is in contact with the ground at that interface. Where specific details cannot meet this requirement, partners shall provide the detail to EPA to request an exemption prior to the building’s certification. EPA will compile exempted details and work with industry to develop feasible details for use in future revisions to the program. A list of currently exempted details is available at: www.energystar.gov/slabedge.</t>
  </si>
  <si>
    <t>Footnote 20 - 3.4</t>
  </si>
  <si>
    <r>
      <t xml:space="preserve">3.5 For elevated concrete slabs in CZ 4-8 (i.e., podiums and projected balconies, but not intermediate slab floor edges) 100% of the slab edge insulated to ≥ R-5. For podiums, insulation must be installed for the full height of the podium wall. Alternatives in Footnote 21. </t>
    </r>
    <r>
      <rPr>
        <vertAlign val="superscript"/>
        <sz val="12"/>
        <color theme="1"/>
        <rFont val="Arial"/>
        <family val="2"/>
      </rPr>
      <t>21</t>
    </r>
  </si>
  <si>
    <t>Footnote 21. For projected balconies, install a minimum of R-5 slab edge insulation to provide a thermal break between conditioned space and the unconditioned projected balcony slab. Alternatively, a UA calculation for the wall assembly that accounts for this uninsulated projected slab must be performed to demonstrate compliance with Item 1.2. For the purpose of this UA calculation, the area of the wall that is uninsulated due to the projected balcony is required to be calculated as 400% of that actual area. For example, for a projected balcony that is 20 feet wide, and has a thickness of 1 foot, the area to be used in the UA calculation is 80 ft2 instead of 20 ft2. The distance the balcony projects from the building is not used in this calculation.</t>
  </si>
  <si>
    <t>Footnote 21 - 3.5</t>
  </si>
  <si>
    <r>
      <t xml:space="preserve">3.6 For elevated concrete slabs in CZ 4-8 (i.e., podiums, but not intermediate floor slabs), floor insulation meets the U-factor specified in Table 502.1.2 of the 2009 IECC for Group R when dwelling units are above the slab, and for ‘All Other’ when common space is above the slab. </t>
    </r>
    <r>
      <rPr>
        <vertAlign val="superscript"/>
        <sz val="12"/>
        <color theme="1"/>
        <rFont val="Arial"/>
        <family val="2"/>
      </rPr>
      <t>22</t>
    </r>
  </si>
  <si>
    <t>Footnote 22. Whether insulating from above or below the slab, thermal breaks must be accounted for when determining compliance with floor U-factors. Where structural columns cause a discontinuity in the installed floor insulation, the UA calculation for the floor assembly must account for this uninsulated area of the floor. For the purpose of this UA calculation, the area of the floor that is uninsulated due to the structural columns is required to be calculated as 400% of that actual area. For example, for a 4’x4’ column, the area to be used in the UA calculation is 64 ft2 instead of 16 ft2. The height of the column is not used in this calculation. Alternatively, if the structural column is insulated for a minimum of 4 vertical feet, the modification to the UA calculation is not required, and the U-value of the column insulation shall be associated with the uninsulated area of the floor due to the column.</t>
  </si>
  <si>
    <t>Footnote 22 - 3.6</t>
  </si>
  <si>
    <r>
      <t xml:space="preserve">3.7 At above-grade walls and rim / band joists separating conditioned from unconditioned space, one of the following options used: </t>
    </r>
    <r>
      <rPr>
        <vertAlign val="superscript"/>
        <sz val="12"/>
        <color theme="1"/>
        <rFont val="Arial"/>
        <family val="2"/>
      </rPr>
      <t>23, 26</t>
    </r>
  </si>
  <si>
    <t xml:space="preserve">Footnote 23. Item 3.7 is applicable to walls that are adjacent to other buildings or adjacent to unconditioned spaces within the building. Mass walls utilized as the thermal mass component of a passive solar design (e.g., a Trombe wall) are exempt from this Item. To be eligible for this exemption, the passive solar design shall be comprised of the following five components: an aperture or collector, an absorber, thermal mass, a distribution system, and a control system. For more information, see:  www.energy.gov/sites/prod/files/guide_to_passive_solar_home_design.pdf.
Mass walls that are not part of a passive solar design (e.g., CMU block or log home enclosure) shall either utilize the strategies outlined in Item 3.7 or the pathway in the assembly with the least thermal resistance, as determined using a method consistent with the 2013 ASHRAE Handbook of Fundamentals, shall provide ≥ 50% of the applicable assembly resistance, defined as the reciprocal of the mass wall equivalent U-factor in the 2009 IECC Table 502.1.2. Documentation identifying the pathway with the least thermal resistance and its resistance value shall be collected by the Rater and any Builder Verified or Rater Verified box under Item 3.7 shall be checked. </t>
  </si>
  <si>
    <t>Footnote 23 - 3.7</t>
  </si>
  <si>
    <t>Footnote 26. Walls and rim / band joists using steel or other metal framing shall meet the reduced thermal bridging requirements by complying with Item 3.7.1 of the Checklist and may not demonstrate compliance using Item 3.7.2 or 3.7.3.</t>
  </si>
  <si>
    <t>Footnote 26 - 3.7</t>
  </si>
  <si>
    <r>
      <t xml:space="preserve"> 3.7.1 Continuous rigid insulation, insulated siding, or combination of the two is ≥ R-3 in CZ 1-4; ≥ R-5 in CZ 5-8 </t>
    </r>
    <r>
      <rPr>
        <vertAlign val="superscript"/>
        <sz val="12"/>
        <color theme="1"/>
        <rFont val="Arial"/>
        <family val="2"/>
      </rPr>
      <t>24, 25, 26, 27;</t>
    </r>
    <r>
      <rPr>
        <sz val="12"/>
        <color theme="1"/>
        <rFont val="Arial"/>
        <family val="2"/>
      </rPr>
      <t xml:space="preserve"> OR;</t>
    </r>
  </si>
  <si>
    <t>Footnote 24. Up to 10% of the total exterior wall surface area is exempted from the reduced thermal bridging requirements to accommodate intentional designed details (e.g., architectural details such as thermal fins, wing walls, brick returns, stone window sills, metal panels, or masonry fireplaces; structural details, such as fasteners (e.g., shelf angles, metal clips, z-girts, brick ties), projected balconies, and service openings (e.g., PTACs or PTHPs), but not steel columns or wall area occupied by intermediate floors). It shall be apparent to the Rater that the exempted areas are intentional designed details or the exempted area shall be documented in a plan provided by the builder, architect, or engineer. The entire area of the wall area that is bypassed by the fastener must be used in the calculation. The Rater need not evaluate the necessity of the designed detail to certify the project.</t>
  </si>
  <si>
    <t>Footnote 24 - 3.7.1</t>
  </si>
  <si>
    <t>Footnote 25. If used, insulated siding shall be attached directly over a water-resistive barrier and sheathing. In addition, it shall provide the required R-value as demonstrated through either testing in accordance with ASTM C 1363 or by attaining the required R-value at its minimum thickness. Insulated sheathing rated for water protection can be used as a water resistant barrier if all seams are taped and sealed. If non-insulated structural sheathing is used at corners, the advanced framing details listed in Item 3.7.3 shall be met for those wall sections.</t>
  </si>
  <si>
    <t>Footnote 25 - 3.7.1</t>
  </si>
  <si>
    <t>Footnote 26 - 3.7.1</t>
  </si>
  <si>
    <t>Footnote 27. In a building undergoing a gut rehabilitation, continuous interior insulation may be used in lieu of continuous exterior rigid insulation or insulated siding.</t>
  </si>
  <si>
    <t>Footnote 27 - 3.7.1</t>
  </si>
  <si>
    <r>
      <t xml:space="preserve"> 3.7.2 Structural Insulated Panels OR; Insulated Concrete Forms OR; Double-wall framing OR; </t>
    </r>
    <r>
      <rPr>
        <vertAlign val="superscript"/>
        <sz val="12"/>
        <color theme="1"/>
        <rFont val="Arial"/>
        <family val="2"/>
      </rPr>
      <t>24, 26, 28</t>
    </r>
  </si>
  <si>
    <t>Footnote 24 - 3.7.2</t>
  </si>
  <si>
    <t>Footnote 26 - 3.7.2</t>
  </si>
  <si>
    <t>Footnote 28. Double-wall framing is defined as any framing method that ensures a continuous layer of insulation covering the studs to at least the R-value required in Item 3.7.1 of the Checklist, such as offset double-stud walls, aligned double-stud walls with continuous insulation between the adjacent stud faces, or single-stud walls with 2x2 or 2x3 cross-framing. In all cases, insulation shall fill the entire wall cavity from the interior to exterior sheathing except at windows, doors and other penetrations.</t>
  </si>
  <si>
    <t>Footnote 28 - 3.7.2</t>
  </si>
  <si>
    <r>
      <t xml:space="preserve"> 3.7.3 Option only for wood-framed walls either in CZ 1-3 OR ≤ 3 stories: ‘advanced framing’ details including all of the Items below: </t>
    </r>
    <r>
      <rPr>
        <vertAlign val="superscript"/>
        <sz val="12"/>
        <color theme="1"/>
        <rFont val="Arial"/>
        <family val="2"/>
      </rPr>
      <t>26, 29</t>
    </r>
  </si>
  <si>
    <t>Footnote 26 - 3.7.3</t>
  </si>
  <si>
    <t xml:space="preserve">Footnote 29. Rim / band joists are exempt from this requirement. For the purpose of this requirement, “≤ 3 stories” refers to any portion of the building elevation where the wood-framed walls do not exceed 3 stories in height. Partial floors that meet the definition of a mezzanine or loft, as defined by the 2012 IRC, do not count as a story. All ‘advanced framing’ details shall be met except where the builder, architect, or engineer provides a framing plan that encompasses the details in question, indicating that structural members are required at these locations and including the rationale for these members (e.g., full-depth solid framing is required at wall corners or interior / exterior wall intersections for shear strength, a full-depth solid header is required above a window to transfer load to jacks studs, additional jack studs are required to support transferred loads, additional cripple studs are required to maintain on-center spacing, or stud spacing must be reduced to support multiple stories in a multifamily building). The Rater shall retain a copy of the detail and rationale for their records, but need not evaluate the rationale to certify the building. </t>
  </si>
  <si>
    <t>Footnote 29 - 3.7.3</t>
  </si>
  <si>
    <r>
      <t xml:space="preserve">  3.7.3a Corners insulated ≥ R-6 to edge, </t>
    </r>
    <r>
      <rPr>
        <vertAlign val="superscript"/>
        <sz val="12"/>
        <color theme="1"/>
        <rFont val="Arial"/>
        <family val="2"/>
      </rPr>
      <t>30</t>
    </r>
    <r>
      <rPr>
        <sz val="12"/>
        <color theme="1"/>
        <rFont val="Arial"/>
        <family val="2"/>
      </rPr>
      <t xml:space="preserve"> AND;</t>
    </r>
  </si>
  <si>
    <t>Footnote 30. All exterior corners shall be constructed to allow access for the installation of ≥ R-6 insulation that extends to the exterior wall sheathing. Examples of compliance options include standard-density insulation with alternative framing techniques, such as using three studs per corner, or high-density insulation (e.g., spray foam) with standard framing techniques.</t>
  </si>
  <si>
    <t>Footnote 30 - 3.7.3a</t>
  </si>
  <si>
    <r>
      <t xml:space="preserve">  3.7.3b Headers above windows &amp; doors insulated ≥ R-3 for 2x4 framing or equivalent cavity width, and ≥ R-5 for all other assemblies (e.g., with 2x6 framing), </t>
    </r>
    <r>
      <rPr>
        <vertAlign val="superscript"/>
        <sz val="12"/>
        <color theme="1"/>
        <rFont val="Arial"/>
        <family val="2"/>
      </rPr>
      <t>31</t>
    </r>
    <r>
      <rPr>
        <sz val="12"/>
        <color theme="1"/>
        <rFont val="Arial"/>
        <family val="2"/>
      </rPr>
      <t xml:space="preserve"> AND;</t>
    </r>
  </si>
  <si>
    <t>Footnote 31. Compliance options include continuous rigid insulation sheathing, SIP headers, other prefabricated insulated headers, single-member or two-member headers with insulation either in between or on one side, or an equivalent assembly. R-value requirement refers to manufacturer’s nominal insulation value.</t>
  </si>
  <si>
    <t>Footnote 31 - 3.7.3b</t>
  </si>
  <si>
    <r>
      <t xml:space="preserve">  3.7.3c Interior / exterior wall intersections insulated to same R-value as rest of exterior wall. </t>
    </r>
    <r>
      <rPr>
        <vertAlign val="superscript"/>
        <sz val="12"/>
        <color theme="1"/>
        <rFont val="Arial"/>
        <family val="2"/>
      </rPr>
      <t>32</t>
    </r>
  </si>
  <si>
    <t>Footnote 32. Insulation shall run behind interior / exterior wall intersections using ladder blocking, full length 2x6 or 1x6 furring behind the first partition stud, drywall clips, or other equivalent alternative.</t>
  </si>
  <si>
    <t>Footnote 32 - 3.7.3c</t>
  </si>
  <si>
    <r>
      <t>4. Air Sealing</t>
    </r>
    <r>
      <rPr>
        <sz val="12"/>
        <color theme="1"/>
        <rFont val="Arial"/>
        <family val="2"/>
      </rPr>
      <t xml:space="preserve"> (Unless otherwise noted below, “sealed” indicates the use of caulk, foam, or equivalent material.)</t>
    </r>
  </si>
  <si>
    <t>4.1 Ducts, flues, shafts, plumbing, piping, wiring, exhaust fans, &amp; other penetrations to unconditioned space sealed, with blocking / flashing as needed.</t>
  </si>
  <si>
    <t>4.2 Recessed lighting fixtures adjacent to unconditioned space ICAT labeled and gasketed. Also, if in insulated ceiling without attic above, exterior surface of fixture insulated to ≥ R-10 in CZ 4-8.</t>
  </si>
  <si>
    <t>4.3 Continuous top plate or blocking is at top of walls adjoining unconditioned space including at balloon-framed parapets, and sealed.</t>
  </si>
  <si>
    <t>4.4 Drywall sealed to top plate at all unconditioned attic / wall interfaces using caulk, foam, drywall adhesive (but not other construction adhesives), or equivalent material. Either apply sealant directly between drywall and top plate or to the seam between the two from the attic above.</t>
  </si>
  <si>
    <r>
      <t xml:space="preserve">4.5 Rough opening around windows &amp; exterior doors sealed. </t>
    </r>
    <r>
      <rPr>
        <vertAlign val="superscript"/>
        <sz val="12"/>
        <color theme="1"/>
        <rFont val="Arial"/>
        <family val="2"/>
      </rPr>
      <t>33</t>
    </r>
  </si>
  <si>
    <t>Footnote 33. In Climate Zones 1 through 3, a continuous stucco cladding system sealed to windows and doors is permitted to be used in lieu of sealing rough openings with caulk or foam.</t>
  </si>
  <si>
    <t>Footnote 33 - 4.5</t>
  </si>
  <si>
    <r>
      <t xml:space="preserve">4.6 Assemblies that separate attached garages from occupiable space sealed and, also, an air barrier installed, sealed, and aligned with these assemblies. </t>
    </r>
    <r>
      <rPr>
        <vertAlign val="superscript"/>
        <sz val="12"/>
        <color theme="1"/>
        <rFont val="Arial"/>
        <family val="2"/>
      </rPr>
      <t>34</t>
    </r>
  </si>
  <si>
    <t>Footnote 34. For dwelling or sleeping units adjacent to garages, EPA recommends, but does not require, carbon monoxide (CO) alarms installed in a central location in the immediate vicinity of each separate sleeping zone and according to NFPA 720.</t>
  </si>
  <si>
    <t>Footnote 34 - 4.6</t>
  </si>
  <si>
    <t>4.7 Doors adjacent to unconditioned space (e.g., attics, garages, basements) or ambient conditions made substantially air-tight with doorsweep and weatherstripping or equivalent gasket.</t>
  </si>
  <si>
    <r>
      <t xml:space="preserve">4.8 Attic access panels, roof hatches and drop-down stairs are gasketed (i.e., not caulked) or equipped with durable covers that are gasketed. </t>
    </r>
    <r>
      <rPr>
        <vertAlign val="superscript"/>
        <sz val="12"/>
        <color theme="1"/>
        <rFont val="Arial"/>
        <family val="2"/>
      </rPr>
      <t>18</t>
    </r>
  </si>
  <si>
    <t>Footnote 18 - 4.8</t>
  </si>
  <si>
    <t>The following items must be additionally verified in dwelling units, to reduce air leakage between conditioned spaces.</t>
  </si>
  <si>
    <t>4.9 Doors serving as a unit entrance from a corridor / stairwell made substantially air-tight with doorsweep and weatherstripping or equivalent gasket.</t>
  </si>
  <si>
    <r>
      <t xml:space="preserve">4.10 Rater-measured compartmentalization is no greater than 0.30 CFM50 per square feet of dwelling unit enclosure area, following procedures in ANSI / RESNET / ICC Std. 380. </t>
    </r>
    <r>
      <rPr>
        <vertAlign val="superscript"/>
        <sz val="12"/>
        <color theme="1"/>
        <rFont val="Arial"/>
        <family val="2"/>
      </rPr>
      <t>35</t>
    </r>
  </si>
  <si>
    <t>Footnote 35. Where a sampling protocol is permitted in accordance with the National or California Program Requirements, at least 20% of the dwelling or sleeping units adjacant to a garage shall be selected for testing.</t>
  </si>
  <si>
    <t>Footnote 35 - 4.10</t>
  </si>
  <si>
    <r>
      <t xml:space="preserve"> 4.10.1 For dwelling units with forced air distribution systems without ducted returns and located in a closet adjacent to unconditioned space, the Rater-measured pressure difference between the space containing the air handler and the conditioned space during the compartmentalization test is no greater than 5 Pa. </t>
    </r>
    <r>
      <rPr>
        <vertAlign val="superscript"/>
        <sz val="12"/>
        <color theme="1"/>
        <rFont val="Arial"/>
        <family val="2"/>
      </rPr>
      <t>36</t>
    </r>
  </si>
  <si>
    <t>Footnote 36. A ‘ducted return’ is defined as a continuous duct made of sheet metal, duct board, or flexible duct that connects one or more return grilles to the return-side inlet of the air handler. Any other approach to convey air from return or transfer grille(s) to the air handler, such as the use of building cavities, does not constitute a ‘ducted return’.</t>
  </si>
  <si>
    <t>Footnote 36 - 4.10.1</t>
  </si>
  <si>
    <r>
      <t>HVAC System</t>
    </r>
    <r>
      <rPr>
        <b/>
        <vertAlign val="superscript"/>
        <sz val="12"/>
        <color theme="1"/>
        <rFont val="Arial"/>
        <family val="2"/>
      </rPr>
      <t xml:space="preserve"> 37</t>
    </r>
    <r>
      <rPr>
        <b/>
        <sz val="12"/>
        <color theme="1"/>
        <rFont val="Arial"/>
        <family val="2"/>
      </rPr>
      <t xml:space="preserve"> </t>
    </r>
    <r>
      <rPr>
        <sz val="12"/>
        <color theme="1"/>
        <rFont val="Arial"/>
        <family val="2"/>
      </rPr>
      <t>(HVAC Design Report Item # indicated in parenthesis) </t>
    </r>
  </si>
  <si>
    <t>Footnote 37. This section of the Checklist is designed to meet the requirements of ASHRAE 62.1-2010 / 2013, ASHRAE 62.2-2010 / 2013, and ANSI / ACCA’s 5 QI-2015 protocol, thereby improving the performance of HVAC equipment in new multifamily buildings when compared to multifamily buildings built to minimum code. However, these features alone cannot prevent all ventilation, indoor air quality, and HVAC problems, (e.g., those caused by a lack of maintenance or by occupant behavior). Therefore, this Checklist is not a guarantee of proper ventilation, indoor air quality, or HVAC performance.</t>
  </si>
  <si>
    <t>Footnote 37 - HVAC System</t>
  </si>
  <si>
    <r>
      <t xml:space="preserve">5. Heating &amp; Cooling Equipment – </t>
    </r>
    <r>
      <rPr>
        <sz val="12"/>
        <color theme="1"/>
        <rFont val="Arial"/>
        <family val="2"/>
      </rPr>
      <t xml:space="preserve">Complete Path A -Dwelling Unit HVAC Grading OR Path B – Dwelling Unit HVAC Commissioning </t>
    </r>
    <r>
      <rPr>
        <vertAlign val="superscript"/>
        <sz val="12"/>
        <color theme="1"/>
        <rFont val="Arial"/>
        <family val="2"/>
      </rPr>
      <t>38</t>
    </r>
  </si>
  <si>
    <t>Footnote 38. Two paths are provided for satisfying the mandatory requirements for all certified buildings, Exhibit 2. Path A – Dwelling Unit HVAC Grading allows a Rater to utilize ANSI / RESNET / ACCA Std. 310 39, a standard for grading the installation of residential HVAC systems serving individual Dwelling Units and a Functional Testing Agent to verify common spaces and central systems. Path B – Functional Testing Agent utilizes a Functional Testing Agent for all systems. Either path may be selected, but all requirements within that path must be satisfied for the building to be certified.</t>
  </si>
  <si>
    <t>Footnote 38 - 5</t>
  </si>
  <si>
    <r>
      <t xml:space="preserve">Path A </t>
    </r>
    <r>
      <rPr>
        <vertAlign val="superscript"/>
        <sz val="12"/>
        <color theme="1"/>
        <rFont val="Arial"/>
        <family val="2"/>
      </rPr>
      <t>39</t>
    </r>
  </si>
  <si>
    <t>Footnote 39. Path A – Dwelling Unit HVAC Grading shall not be used until an Effective Date has been defined by RESNET for ANSI / RESNET / ACCA Std. 310. Path A – Dwelling Unit HVAC Grading shall then use ANSI / RESNET / ACCA Std. 310 including all Addenda and Normative Appendices, with new versions and Addenda implemented according to the Effective Date and Transition Period End Date defined by RESNET. RESNET interpretations of Standard 310 shall also be followed. For units following path A, all unitary HVAC Systems including air conditioners and heat pumps up to 65 kBtuh and furnaces up to 125 kBtuh serving individual dwelling or sleeping units shall comply with 5a.1 through 5a.3 for the building to be certified.</t>
  </si>
  <si>
    <t>Footnote 39 - Path A</t>
  </si>
  <si>
    <t>5a.1 Blower fan volumetric airflow is Grade I or II per ANSI / RESNET / ACCA Std. 310</t>
  </si>
  <si>
    <t>5a.2 Blower fan watt draw is Grade I or II per ANSI / RESNET / ACCA Std. 310</t>
  </si>
  <si>
    <r>
      <t xml:space="preserve">5a.3 Refrigerant charge is Grade I per ANSI / RESNET / ACCA Std. 310. See Footnote 40 for exemptions. </t>
    </r>
    <r>
      <rPr>
        <vertAlign val="superscript"/>
        <sz val="12"/>
        <color theme="1"/>
        <rFont val="Arial"/>
        <family val="2"/>
      </rPr>
      <t>40</t>
    </r>
  </si>
  <si>
    <t>Footnote 40. If the non-invasive procedure in ANSI / RESNET / ACCA Std. 310 is not permitted to be used during the final inspection of a unit (i.e., due to the equipment type or to outdoor air temperatures that do not meet the requirements of the non-invasive method), then the unit is permitted to be certified with a default refrigerant charge designation of Grade III. Note that in these circumstances, the weigh-in method procedure in ANSI / RESNET / ACCA Std. 310 may still be used to pursue a Grade I designation.</t>
  </si>
  <si>
    <t>Footnote 40 - 5a.3</t>
  </si>
  <si>
    <t>Path B</t>
  </si>
  <si>
    <r>
      <t xml:space="preserve">5b.1 HVAC manufacturer &amp; model number on installed equipment matches either of the following (check box): </t>
    </r>
    <r>
      <rPr>
        <vertAlign val="superscript"/>
        <sz val="12"/>
        <color theme="1"/>
        <rFont val="Arial"/>
        <family val="2"/>
      </rPr>
      <t>41</t>
    </r>
    <r>
      <rPr>
        <sz val="12"/>
        <color theme="1"/>
        <rFont val="Arial"/>
        <family val="2"/>
      </rPr>
      <t xml:space="preserve">
</t>
    </r>
    <r>
      <rPr>
        <sz val="8"/>
        <color theme="1"/>
        <rFont val="Arial"/>
        <family val="2"/>
      </rPr>
      <t xml:space="preserve"> </t>
    </r>
    <r>
      <rPr>
        <sz val="12"/>
        <color theme="1"/>
        <rFont val="Arial"/>
        <family val="2"/>
      </rPr>
      <t xml:space="preserve">
 National HVAC Design Report (4.6-4.9 &amp; 4.25-4.26)      Written approval received from designer</t>
    </r>
  </si>
  <si>
    <t>Footnote 41. If installed equipment does not match the National HVAC Design Report, then prior to certification the Rater shall obtain written approval from the designer (e.g., email, updated National HVAC Design Report) confirming that the installed equipment meets the requirements of the National HVAC Design Report. In cases where the condenser unit is installed after the time of inspection by the Rater, the HVAC manufacturer and model numbers on installed equipment can be documented through the use of photographs provided by the Functional Testing Agent after installation is complete.</t>
  </si>
  <si>
    <t>Footnote 41 - 5b.1</t>
  </si>
  <si>
    <r>
      <t xml:space="preserve">5b.2 External static pressure measured by Rater at contractor-provided test locations and documented below: </t>
    </r>
    <r>
      <rPr>
        <vertAlign val="superscript"/>
        <sz val="12"/>
        <color theme="1"/>
        <rFont val="Arial"/>
        <family val="2"/>
      </rPr>
      <t>42</t>
    </r>
    <r>
      <rPr>
        <sz val="12"/>
        <color theme="1"/>
        <rFont val="Arial"/>
        <family val="2"/>
      </rPr>
      <t xml:space="preserve">
Return-Side External Static Pressure: ________IWC
Supply-Side External Static Pressure: __________IWC</t>
    </r>
  </si>
  <si>
    <t>Footnote 42. The Rater shall measure and record the external static pressure in the return-side and supply-side of the system using the contractor-provided test locations. However, at this time, the Rater need not assess whether these values are within a specific range to certify the dwelling unit.</t>
  </si>
  <si>
    <t>Footnote 42 - 5b.2</t>
  </si>
  <si>
    <t>5.4 Prescriptive Path: Heating and cooling equipment serving dwelling units and common spaces meet the efficiency levels specified in the Exhibit X. Electric resistance heating is not installed in dwelling units.</t>
  </si>
  <si>
    <r>
      <t xml:space="preserve">5.5 ERI Path: Heating and cooling equipment serving common spaces, but </t>
    </r>
    <r>
      <rPr>
        <u/>
        <sz val="12"/>
        <color theme="1"/>
        <rFont val="Arial"/>
        <family val="2"/>
      </rPr>
      <t>not</t>
    </r>
    <r>
      <rPr>
        <sz val="12"/>
        <color theme="1"/>
        <rFont val="Arial"/>
        <family val="2"/>
      </rPr>
      <t xml:space="preserve"> serving dwelling units, meet the efficiency levels specified in the Exhibit X. See Exhibit X for restrictions on electric resistance heating.</t>
    </r>
  </si>
  <si>
    <t>ERI</t>
  </si>
  <si>
    <r>
      <t xml:space="preserve">5.6 National HVAC Functional Testing Checklist(s) collected prior to certification, with all HVAC systems in the building / project fully documented. Exception: Where credentialed HVAC Contractor(s) are completing the National HVAC Functional Testing Checklist, the checklist is not required to be collected for the systems they verify. </t>
    </r>
    <r>
      <rPr>
        <vertAlign val="superscript"/>
        <sz val="12"/>
        <color theme="1"/>
        <rFont val="Arial"/>
        <family val="2"/>
      </rPr>
      <t>43</t>
    </r>
  </si>
  <si>
    <r>
      <t xml:space="preserve">Footnote 43. Functional Testing Agents must hold an approved credential, as listed at </t>
    </r>
    <r>
      <rPr>
        <sz val="12"/>
        <color rgb="FF0433FF"/>
        <rFont val="Arial"/>
        <family val="2"/>
      </rPr>
      <t>www.energystar.gov/ftas</t>
    </r>
    <r>
      <rPr>
        <sz val="12"/>
        <color theme="0" tint="-0.499984740745262"/>
        <rFont val="Arial"/>
        <family val="2"/>
      </rPr>
      <t xml:space="preserve">, or must be a representative of the Original Equipment Manufacturer (OEM), or a contractor credentialed by an HVAC Quality Installation Training and Oversight Organization (H-QUITO), if not completing Sections 6 and higher. Functional Testing Agents may not be the installing contractor unless they are a credentialed contractor. An explanation of the credentialing process and links to H-QUITOs, which maintain lists of credentialed contractors, can be found at </t>
    </r>
    <r>
      <rPr>
        <sz val="12"/>
        <color rgb="FF0433FF"/>
        <rFont val="Arial"/>
        <family val="2"/>
      </rPr>
      <t>www.energystar.gov/findhvac</t>
    </r>
    <r>
      <rPr>
        <sz val="12"/>
        <color theme="0" tint="-0.499984740745262"/>
        <rFont val="Arial"/>
        <family val="2"/>
      </rPr>
      <t xml:space="preserve">. A directory of other FT Agents can be found at </t>
    </r>
    <r>
      <rPr>
        <sz val="12"/>
        <color rgb="FF0433FF"/>
        <rFont val="Arial"/>
        <family val="2"/>
      </rPr>
      <t>www.energystar.gov/ftas</t>
    </r>
    <r>
      <rPr>
        <sz val="12"/>
        <color theme="0" tint="-0.499984740745262"/>
        <rFont val="Arial"/>
        <family val="2"/>
      </rPr>
      <t>. For Path A, a Functional Testing Agent is not needed to complete Sections 2 and 3 for unitary HVAC systems serving dwelling units that will be verified and graded by the Rater.</t>
    </r>
  </si>
  <si>
    <t>Footnote 43 - 5.6</t>
  </si>
  <si>
    <r>
      <t xml:space="preserve">5.7 Rater has verified that Functional Testing Agent(s) (“FT Agent(s)”) completing the National HVAC Functional Testing Checklist(s), hold(s) one of the required credentials and are listed on the appropriate online directory. </t>
    </r>
    <r>
      <rPr>
        <vertAlign val="superscript"/>
        <sz val="12"/>
        <color theme="1"/>
        <rFont val="Arial"/>
        <family val="2"/>
      </rPr>
      <t>43</t>
    </r>
    <r>
      <rPr>
        <sz val="12"/>
        <color theme="1"/>
        <rFont val="Arial"/>
        <family val="2"/>
      </rPr>
      <t xml:space="preserve">
Credential: ______________________ “FT Agent” Company Name(s): _______________________</t>
    </r>
  </si>
  <si>
    <t>Footnote 43 - 5.7</t>
  </si>
  <si>
    <t>Equipment Controls </t>
  </si>
  <si>
    <t>5.8 All heating and cooling systems serving a dwelling unit have thermostatic controls within the dwelling unit which are not located on exterior walls.</t>
  </si>
  <si>
    <t xml:space="preserve"> 5.8.1 Prescriptive Path: Dwelling unit thermostats are programmable.</t>
  </si>
  <si>
    <t>5.9 Stair and elevator shaft vents equipped with motorized dampers that are capable of being automatically closed during normal building operation and are interlocked to open as required by fire and smoke detection systems. Dampers are verified to be closed at the time of inspection.</t>
  </si>
  <si>
    <t>5.10 Freeze protection systems, such as heat tracing of piping and heat exchangers, including self-regulating heat tracing, and garage / plenum heaters include automatic controls that are verified to shut off the systems when pipe wall or garage / plenum temperatures are above 40°F.</t>
  </si>
  <si>
    <t xml:space="preserve"> 5.10.1 Where heat tracing is installed for freeze-protection, controls must be based on pipe wall temperature and a minimum of R-3 pipe insulation is also required.</t>
  </si>
  <si>
    <t>5.11 Snow- and ice-melting systems include automatic controls that are verified to shut off the systems when the pavement temperature is above 50°F and no precipitation is falling, and an automatic or manual control is installed that is verified to shut off system when the outdoor temperature is above 40°F, so that the potential for snow or ice accumulation is negligible.</t>
  </si>
  <si>
    <t>Hydronic Distribution </t>
  </si>
  <si>
    <t>5.12 For hydronic distribution systems, all terminal heating and cooling distribution equipment are separated from the riser or distribution loop by a control valve or terminal distribution pump, so that heated or cooled fluid is not delivered to the dwelling unit distribution equipment when there is no call from the thermostat.</t>
  </si>
  <si>
    <t>5.13 Terminal units in hydronic distribution systems are equipped with pressure independent balancing valves or pressure independent control valves.</t>
  </si>
  <si>
    <t>5.14 Piping of a heating or cooling system is insulated in accordance with Item 4.40 on the National HVAC Design Report, including where passing through planks or any other penetrations.</t>
  </si>
  <si>
    <t>5.15 For circulating pumps serving hydronic heating or cooling systems with three-phase motors, 1 horsepower or larger, motors meet or exceed efficiency standards for NEMA Premium™ motors. If 5 horsepower or larger, also installed with variable frequency drives.</t>
  </si>
  <si>
    <r>
      <t xml:space="preserve">6. Duct Quality Installation </t>
    </r>
    <r>
      <rPr>
        <i/>
        <sz val="12"/>
        <color theme="1"/>
        <rFont val="Arial"/>
        <family val="2"/>
      </rPr>
      <t>- Applies to Heating, Cooling, Ventilation, Exhaust, &amp; Pressure Balancing Ducts, Unless Noted in Footnote.</t>
    </r>
  </si>
  <si>
    <r>
      <t xml:space="preserve">6.1 Ductwork installed without kinks, sharp bends, compressions, or excessive coiled flexible ductwork. </t>
    </r>
    <r>
      <rPr>
        <vertAlign val="superscript"/>
        <sz val="12"/>
        <color theme="1"/>
        <rFont val="Arial"/>
        <family val="2"/>
      </rPr>
      <t>45</t>
    </r>
  </si>
  <si>
    <t>Footnote 45. Kinks are to be avoided and are caused when ducts are bent across sharp corners such as framing members. Sharp bends are to be avoided and occur when the radius of the turn in the duct is less than one duct diameter. Compression is to be avoided and occurs when flexible ducts in unconditioned space are installed in cavities smaller than the outer duct diameter and ducts in conditioned space are installed in cavities smaller than inner duct diameter. Ducts shall not include coils or loops except to the extent needed for acoustical control.</t>
  </si>
  <si>
    <t>Footnote 45 - 6.1</t>
  </si>
  <si>
    <r>
      <t xml:space="preserve">6.2 Bedrooms with a design supply airflow ≥ 150 CFM (per Item 5.2 on the National HVAC Design Report) pressure-balanced (e.g., using transfer grilles, jump ducts, dedicated return ducts, undercut doors) to achieve a Rater-measured pressure differential ≥ -5 Pa and ≤ +5 Pa with respect to the main body of the dwelling unit when all air handlers are operating. See Footnote 46 for test configuration. </t>
    </r>
    <r>
      <rPr>
        <vertAlign val="superscript"/>
        <sz val="12"/>
        <color theme="1"/>
        <rFont val="Arial"/>
        <family val="2"/>
      </rPr>
      <t>46</t>
    </r>
  </si>
  <si>
    <t>Footnote 46. Item 6.2 does not apply to ventilation ducts, exhaust ducts, or non-ducted systems. For an HVAC system with a multi-speed fan, the highest design fan speed shall be used when verifying this requirement. When verifying this requirement, doors separating bedrooms from the main body of the dwelling unit (e.g., a door between a bedroom and a hallway) shall be closed and doors to rooms that can only be entered from the bedroom (e.g., a closet, a bathroom) shall be open. The Rater-measured pressure shall be rounded to the nearest whole number to assess compliance.</t>
  </si>
  <si>
    <t>Footnote 46 - 6.2</t>
  </si>
  <si>
    <r>
      <t xml:space="preserve">6.3 All supply and return ducts in unconditioned space, including connections to trunk ducts, are insulated to ≥ R-6. </t>
    </r>
    <r>
      <rPr>
        <vertAlign val="superscript"/>
        <sz val="12"/>
        <color theme="1"/>
        <rFont val="Arial"/>
        <family val="2"/>
      </rPr>
      <t>47</t>
    </r>
  </si>
  <si>
    <t>Footnote 47. Item 6.3 does not apply to ducts that are a part of local mechanical exhaust or exhaust-only dwelling-unit mechanical ventilation systems. EPA recommends, but does not require, that all metal ductwork not encompassed by Section 6 (e.g., exhaust ducts, duct boots, ducts in conditioned space) also be insulated and that insulation be sealed to duct boots to prevent condensation.</t>
  </si>
  <si>
    <t>Footnote 47 - 6.3</t>
  </si>
  <si>
    <t xml:space="preserve"> 6.3.1 Prescriptive Path: Dwelling unit ductwork meets the location and insulation requirements specified in the ENERGY STAR Multifamily Reference Design.</t>
  </si>
  <si>
    <r>
      <t xml:space="preserve">6.4 Rater-measured total duct leakage in dwelling units meets one of the following two options: </t>
    </r>
    <r>
      <rPr>
        <vertAlign val="superscript"/>
        <sz val="12"/>
        <color theme="1"/>
        <rFont val="Arial"/>
        <family val="2"/>
      </rPr>
      <t>48, 49</t>
    </r>
  </si>
  <si>
    <t>Footnote 48. Item 6.4 and 6.5 only apply to heating, cooling, and balanced ventilation ducts that only serve one dwelling unit. Duct leakage testing is not required if the ducts and air handler are in conditioned space and the total supply duct length of the system, including all supply trunks and branches, is ≤ 10 ft. Duct leakage shall be determined and documented by a Rater using ANSI / RESNET / ICC Std. 380 including all Addenda and Normative Appendices, with new versions and Addenda implemented according to the Effective Date and Transition Period End Date defined by RESNET. RESNET interpretations of Standard 380 shall also be followed. Leakage limits shall be assessed on a per-system, rather than per-dwelling unit, basis. For balanced ventilation ducts that are not connected to space heating or cooling systems, a Rater is permitted to visually verify, in lieu of duct leakage testing, that all seams and connections are sealed with mastic or metal tape and all duct boots are sealed to floor, wall, or ceiling using caulk, foam, or mastic tape.</t>
  </si>
  <si>
    <t>Footnote 48 - 6.4</t>
  </si>
  <si>
    <t>Footnote 49: Note that compliance with Item 6.4.1 or 6.4.2 in conjunction with Section 4a of the National Rater Design Review Checklist automatically achieves Grade I total duct leakage per ANSI / RESNET / ACCA Std. 310.</t>
  </si>
  <si>
    <t>Footnote 49 - 6.4</t>
  </si>
  <si>
    <r>
      <t xml:space="preserve"> 6.4.1 Rough-in: Tested per allowances below, with air handler &amp; all ducts, building cavities used as ducts, &amp; duct boots installed. In addition, all duct boots sealed to finished surface, Rater-verified at final. </t>
    </r>
    <r>
      <rPr>
        <vertAlign val="superscript"/>
        <sz val="12"/>
        <color theme="1"/>
        <rFont val="Arial"/>
        <family val="2"/>
      </rPr>
      <t>50</t>
    </r>
    <r>
      <rPr>
        <sz val="12"/>
        <color theme="1"/>
        <rFont val="Arial"/>
        <family val="2"/>
      </rPr>
      <t xml:space="preserve">
No ducted returns </t>
    </r>
    <r>
      <rPr>
        <vertAlign val="superscript"/>
        <sz val="12"/>
        <color theme="1"/>
        <rFont val="Arial"/>
        <family val="2"/>
      </rPr>
      <t>36</t>
    </r>
    <r>
      <rPr>
        <sz val="12"/>
        <color theme="1"/>
        <rFont val="Arial"/>
        <family val="2"/>
      </rPr>
      <t xml:space="preserve">: The greater of ≤ 3 CFM25 per 100 sq. ft. of CFA or ≤ 30 CFM. Additionally, the Rater-measured pressure difference between the space containing the air handler and the conditioned space, with the air handler running at high speed, is ≤ 5 Pa. For systems &gt; 1 ton, increase by 1 Pa per half ton.
One or two ducted returns </t>
    </r>
    <r>
      <rPr>
        <vertAlign val="superscript"/>
        <sz val="12"/>
        <color theme="1"/>
        <rFont val="Arial"/>
        <family val="2"/>
      </rPr>
      <t>36</t>
    </r>
    <r>
      <rPr>
        <sz val="12"/>
        <color theme="1"/>
        <rFont val="Arial"/>
        <family val="2"/>
      </rPr>
      <t xml:space="preserve">: The greater of ≤ 4 CFM25 per 100 sq. ft. of CFA or ≤ 40 CFM.
Three or more ducted returns </t>
    </r>
    <r>
      <rPr>
        <vertAlign val="superscript"/>
        <sz val="12"/>
        <color theme="1"/>
        <rFont val="Arial"/>
        <family val="2"/>
      </rPr>
      <t>36</t>
    </r>
    <r>
      <rPr>
        <sz val="12"/>
        <color theme="1"/>
        <rFont val="Arial"/>
        <family val="2"/>
      </rPr>
      <t xml:space="preserve"> : The greater of ≤ 6 CFM25 per 100 sq. ft. of CFA or ≤ 60 CFM.</t>
    </r>
  </si>
  <si>
    <t>Footnote 36 - 6.4.1</t>
  </si>
  <si>
    <t>Footnote 50. Cabinets (e.g., kitchen, bath, multimedia) or ducts that connect duct boots to toe-kick registers are not required to be in place during the ‘rough-in’ test.</t>
  </si>
  <si>
    <t>Footnote 50 - 6.4.1</t>
  </si>
  <si>
    <r>
      <t xml:space="preserve"> 6.4.2 Final: Tested per allowances below, with the air handler &amp; all ducts, building cavities used as ducts, duct boots, &amp; register grilles atop the finished surface (e.g., drywall, floor) installed. </t>
    </r>
    <r>
      <rPr>
        <vertAlign val="superscript"/>
        <sz val="12"/>
        <color theme="1"/>
        <rFont val="Arial"/>
        <family val="2"/>
      </rPr>
      <t>51</t>
    </r>
    <r>
      <rPr>
        <sz val="12"/>
        <color theme="1"/>
        <rFont val="Arial"/>
        <family val="2"/>
      </rPr>
      <t xml:space="preserve">
No ducted returns </t>
    </r>
    <r>
      <rPr>
        <vertAlign val="superscript"/>
        <sz val="12"/>
        <color theme="1"/>
        <rFont val="Arial"/>
        <family val="2"/>
      </rPr>
      <t>36</t>
    </r>
    <r>
      <rPr>
        <sz val="12"/>
        <color theme="1"/>
        <rFont val="Arial"/>
        <family val="2"/>
      </rPr>
      <t xml:space="preserve">: The greater of ≤ 6 CFM25 per 100 sq. ft. of CFA or ≤ 60 CFM. Additionally, the Rater-measured pressure difference between the space containing the air handler and the conditioned space, with the air handler running at high speed, is ≤ 5 Pa. For systems &gt; 1 ton, increase by 1 Pa per half ton.
One or two ducted returns </t>
    </r>
    <r>
      <rPr>
        <vertAlign val="superscript"/>
        <sz val="12"/>
        <color theme="1"/>
        <rFont val="Arial"/>
        <family val="2"/>
      </rPr>
      <t>36</t>
    </r>
    <r>
      <rPr>
        <sz val="12"/>
        <color theme="1"/>
        <rFont val="Arial"/>
        <family val="2"/>
      </rPr>
      <t xml:space="preserve">: The greater of ≤ 8 CFM25 per 100 sq. ft. of CFA or ≤ 80 CFM.
Three or more ducted returns </t>
    </r>
    <r>
      <rPr>
        <vertAlign val="superscript"/>
        <sz val="12"/>
        <color theme="1"/>
        <rFont val="Arial"/>
        <family val="2"/>
      </rPr>
      <t>36</t>
    </r>
    <r>
      <rPr>
        <sz val="12"/>
        <color theme="1"/>
        <rFont val="Arial"/>
        <family val="2"/>
      </rPr>
      <t xml:space="preserve"> : The greater of ≤ 12 CFM25 per 100 sq. ft. of CFA or ≤ 120 CFM.</t>
    </r>
  </si>
  <si>
    <t>Footnote 36 - 6.4.2</t>
  </si>
  <si>
    <t>Footnote 51. Registers atop carpets are permitted to be removed and the face of the duct boot temporarily sealed during testing. In such cases, the Rater shall visually verify that the boot has been durably sealed to the subfloor (e.g., using duct mastic or caulk) to prevent leakage during normal operation.</t>
  </si>
  <si>
    <t>Footnote 51 - 6.4.2</t>
  </si>
  <si>
    <r>
      <t>6.5 Townhouses only: Rater-measured duct leakage to the outside the greater of ≤ 4 CFM25 per 100 sq. ft. of CFA or ≤ 40 CFM25.</t>
    </r>
    <r>
      <rPr>
        <vertAlign val="superscript"/>
        <sz val="12"/>
        <color theme="1"/>
        <rFont val="Arial"/>
        <family val="2"/>
      </rPr>
      <t xml:space="preserve"> 48, 52</t>
    </r>
  </si>
  <si>
    <t>Footnote 48. Item 6.4 and 6.5 only apply to heating, cooling, and balanced ventilation ducts that only serve one dwelling unit. Duct leakage testing is not
required if the ducts and air handler are in conditioned space and the total supply duct length of the system, including all supply trunks and branches, is ≤ 10 ft. Duct leakage shall be determined and documented by a Rater using ANSI / RESNET / ICC Std. 380 including all Addenda and Normative Appendices, with new versions and Addenda implemented according to the Effective Date and Transition Period End Date defined by RESNET. RESNET interpretations of Standard 380 shall also be followed. Leakage limits shall be assessed on a per-system, rather than per-dwelling unit, basis. For balanced ventilation ducts that are not connected to space heating or cooling systems, a Rater is permitted to visually verify, in lieu of duct leakage testing, that all seams and connections are sealed with mastic or metal tape and all duct boots are sealed to floor, wall, or ceiling using caulk, foam, or mastic tape.</t>
  </si>
  <si>
    <t>Footnote 48 - 6.5</t>
  </si>
  <si>
    <r>
      <t xml:space="preserve">Footnote 52. Testing of duct leakage to the outdoors can be waived in accordance with the 2nd or 3rd alternative of ANSI / RESNET / ICC Std. 301, Table
4.2.2 (1), footnote (w). Alternatively, testing of duct leakage to outdoors can be waived in accordance with Section 5.5.2 of ANSI / RESNET / ICC Std. 380 if total duct leakage, at rough-in or final, is ≤ 4 CFM25 per 100 sq. ft. of conditioned floor area or 40 CFM25, whichever is larger. Guidance to assist partners with these alternatives, including modeling inputs, is available at </t>
    </r>
    <r>
      <rPr>
        <sz val="12"/>
        <color rgb="FF0433FF"/>
        <rFont val="Arial"/>
        <family val="2"/>
      </rPr>
      <t>www.energystar.gov/newhomesguidance</t>
    </r>
    <r>
      <rPr>
        <sz val="12"/>
        <color theme="0" tint="-0.499984740745262"/>
        <rFont val="Arial"/>
        <family val="2"/>
      </rPr>
      <t>.</t>
    </r>
  </si>
  <si>
    <t>Footnote 52 - 6.5</t>
  </si>
  <si>
    <t>6.6 Common Space: Supply, return, and exhaust ductwork and all plenums are sealed at all transverse joints, longitudinal seams, and duct wall penetrations with mastic or mastic tape</t>
  </si>
  <si>
    <t>6.7 Duct leakage of central exhaust systems that serve four or more dwelling units, meets one of the following two options:</t>
  </si>
  <si>
    <r>
      <t xml:space="preserve"> 6.7.1 </t>
    </r>
    <r>
      <rPr>
        <u/>
        <sz val="12"/>
        <color theme="1"/>
        <rFont val="Arial"/>
        <family val="2"/>
      </rPr>
      <t>Rough-in</t>
    </r>
    <r>
      <rPr>
        <sz val="12"/>
        <color theme="1"/>
        <rFont val="Arial"/>
        <family val="2"/>
      </rPr>
      <t xml:space="preserve">: Tested including horizontal run outs, trunks, branches, and take-offs up to, but not including, the grilles, the leakage does not exceed 25% of exhaust fan flow. </t>
    </r>
    <r>
      <rPr>
        <vertAlign val="superscript"/>
        <sz val="12"/>
        <color theme="1"/>
        <rFont val="Arial"/>
        <family val="2"/>
      </rPr>
      <t>53</t>
    </r>
  </si>
  <si>
    <r>
      <t xml:space="preserve">
Footnote 53. For the purpose of computing leakage allowance, exhaust fan flow shall be the lesser of the rated fan flow and at rough-in, 133% of the sum of the design exhaust airflow of the dwelling units that are exhausted by that central fan or at final, 143% of the sum of the design exhaust airflow of the dwelling units that are exhausted by that central fan. Duct leakage shall be tested at the design or average operating pressure and shall use the procedures in the RESNET Guidelines for Multifamily Energy Ratings, available at www.resnet.us/blog/resnet-adoptsguidelines-for-multifamily-energy-ratings/. Where testing at the design or average operating pressure is not feasible, testing at 50 Pa is permitted, however the following flow equation must be used to determine the leakage allowance at 50 Pa.
CFM50 = CFMdesign / [Pdesign</t>
    </r>
    <r>
      <rPr>
        <vertAlign val="superscript"/>
        <sz val="12"/>
        <color theme="0" tint="-0.499984740745262"/>
        <rFont val="Arial"/>
        <family val="2"/>
      </rPr>
      <t>(0.65)</t>
    </r>
    <r>
      <rPr>
        <sz val="12"/>
        <color theme="0" tint="-0.499984740745262"/>
        <rFont val="Arial"/>
        <family val="2"/>
      </rPr>
      <t xml:space="preserve"> / 50</t>
    </r>
    <r>
      <rPr>
        <vertAlign val="superscript"/>
        <sz val="12"/>
        <color theme="0" tint="-0.499984740745262"/>
        <rFont val="Arial"/>
        <family val="2"/>
      </rPr>
      <t>(0.65)</t>
    </r>
    <r>
      <rPr>
        <sz val="12"/>
        <color theme="0" tint="-0.499984740745262"/>
        <rFont val="Arial"/>
        <family val="2"/>
      </rPr>
      <t>]
No less than 50% of the ductwork, based on total linear feet, shall be tested and must include ductwork other than the main trunks. Where portions of ductwork are tested, rather than entire risers, the percentage of leakage allowed is based upon the design airflow of the dwelling units that are exhausted in that portion. Where failures occur, the percentage of total linear feet required to be tested increases by 10%. Where aerosol-based sealant is used on some but not all risers, the ductwork selected for testing must be representative of all sealing strategies used. This test is not required of central exhaust systems serving clothes dryers.</t>
    </r>
  </si>
  <si>
    <t>Footnote 52 - 6.7.1</t>
  </si>
  <si>
    <r>
      <t xml:space="preserve"> 6.7.2 </t>
    </r>
    <r>
      <rPr>
        <u/>
        <sz val="12"/>
        <color theme="1"/>
        <rFont val="Arial"/>
        <family val="2"/>
      </rPr>
      <t>Final</t>
    </r>
    <r>
      <rPr>
        <sz val="12"/>
        <color theme="1"/>
        <rFont val="Arial"/>
        <family val="2"/>
      </rPr>
      <t xml:space="preserve">: Tested inclusive of all ductwork between the fan and the grilles, the leakage does not exceed 30% of exhaust fan flow. </t>
    </r>
    <r>
      <rPr>
        <vertAlign val="superscript"/>
        <sz val="12"/>
        <color theme="1"/>
        <rFont val="Arial"/>
        <family val="2"/>
      </rPr>
      <t>53</t>
    </r>
  </si>
  <si>
    <t>Footnote 52 - 6.7.2</t>
  </si>
  <si>
    <t>7. Dwelling-Unit &amp; Common Space Mechanical Ventilation System </t>
  </si>
  <si>
    <r>
      <t xml:space="preserve">7.1 Ventilation manufacturer &amp; model number on installed equipment matches either of the following (check box): </t>
    </r>
    <r>
      <rPr>
        <vertAlign val="superscript"/>
        <sz val="12"/>
        <color theme="1"/>
        <rFont val="Arial"/>
        <family val="2"/>
      </rPr>
      <t>41</t>
    </r>
    <r>
      <rPr>
        <sz val="12"/>
        <color theme="1"/>
        <rFont val="Arial"/>
        <family val="2"/>
      </rPr>
      <t xml:space="preserve">
 National HVAC Design Report           Written approval received from designer</t>
    </r>
  </si>
  <si>
    <t>Footnote 41 - 7.1</t>
  </si>
  <si>
    <r>
      <t xml:space="preserve">7.2 Rater-measured ventilation rate is within either ± 15 CFM or ± 15% of dwelling unit design values (2.7), and meets or exceeds rates required by ASHRAE 62.2-2010. </t>
    </r>
    <r>
      <rPr>
        <vertAlign val="superscript"/>
        <sz val="12"/>
        <color theme="1"/>
        <rFont val="Arial"/>
        <family val="2"/>
      </rPr>
      <t>54</t>
    </r>
  </si>
  <si>
    <t>54. The dwelling-unit ventilation air flow and local exhaust air flows shall be determined and documented by a Rater using ANSI / RESNET / ICC Std. 380 including all Addenda and Normative Appendices, with new versions and Addenda implemented according to the Effective Date and Transition Period End Date defined by RESNET. RESNET interpretations of Standard 380 shall also be followed. In Item 7.2, the dwelling-unit ventilation rates required by ASHRAE 62.2-2010 can be calculated using the Multifamily Workbook or the following equation:
0.01 x Conditioned Floor Area + 7.5 x (number of bedrooms + 1). Where local codes do not permit dwelling-unit ventilation to exceed ASHRAE 62.2-2010 rates, Rater-measured ventilation rate is permitted to be 0-15 CFM less than rates required by ASHRAE 62.2-2010.</t>
  </si>
  <si>
    <t>Footnote 54 - 7.2</t>
  </si>
  <si>
    <r>
      <t xml:space="preserve">7.3 Measured ventilation rate is within either ± 15 CFM or ± 15 % of common space design values (2.9), and meets or exceeds rates required by ASHRAE 62.1-2010 (2.8). </t>
    </r>
    <r>
      <rPr>
        <vertAlign val="superscript"/>
        <sz val="12"/>
        <color theme="1"/>
        <rFont val="Arial"/>
        <family val="2"/>
      </rPr>
      <t>55</t>
    </r>
  </si>
  <si>
    <t>Footnote 55. While common spaces are not under the scope of ANSI / RESNET / ICC Std. 380, the ventilation air flow and exhaust air flows in common spaces shall be measured in accordance with the procedures in ANSI / RESNET / ICC Std. 380. The air flows may be measured by a Rater or a certified air-balancing contractor under the observation of a Rater. Where a system provides supply air that is a mix of return and outdoor air, and not 100% outdoor air, the outdoor air intake airflow shall be measured and compared to the total supply airflow to determine percentage of outdoor air supplied. This percentage shall be applied to airflow measured at supply registers to determine outdoor air provided for comparison to design airflow rates.</t>
  </si>
  <si>
    <t>Footnote 55 - 7.3</t>
  </si>
  <si>
    <t>7.4 Townhouses only: A readily-accessible ventilation override control installed and also labeled if its function is not obvious (e.g., a label is required for a standalone wall switch, but not for a switch that’s on the ventilation equipment).</t>
  </si>
  <si>
    <t>7.5 No outdoor air intakes connected to return side of the dwelling unit HVAC system, unless controls are installed to operate intermittently &amp; automatically based on a timer and to restrict intake when not in use (e.g., motorized damper).</t>
  </si>
  <si>
    <r>
      <t xml:space="preserve">7.6 If located in the dwelling unit, system fan rated ≤ 3 sones if intermittent and ≤ 2 sone if continuous, or exempted. </t>
    </r>
    <r>
      <rPr>
        <vertAlign val="superscript"/>
        <sz val="12"/>
        <color theme="1"/>
        <rFont val="Arial"/>
        <family val="2"/>
      </rPr>
      <t>56</t>
    </r>
  </si>
  <si>
    <t>Footnote 56. Dwelling-unit mechanical ventilation fans shall be rated for sound at no less than the airflow rate in Item 2.7 of the National HVAC Design Report. Fans exempted from this requirement include HVAC air handler fans, remote-mounted fans, and intermittent fans rated ≥ 400 CFM. To be considered for this exemption, a remote-mounted fan must be mounted outside the habitable spaces, bathrooms, toilets, and hallways and there shall be ≥ 4 ft. ductwork between the fan and intake grill. Per ASHRAE 62.2-2010, habitable spaces are intended for continual human occupancy; such space generally includes areas used for living, sleeping, dining, and cooking but does not generally include bathrooms, toilets, hallways, storage areas, closets, or utility rooms.</t>
  </si>
  <si>
    <t>Footnote 56 - 7.6</t>
  </si>
  <si>
    <t>7.7 If system utilizes the dwelling unit HVAC fan, then the intalled fan type is ECM / ICM (4.12), or the controls will reduce the standalone ventilation run-time by accounting for hours when the HVAC system is heating or cooling.</t>
  </si>
  <si>
    <r>
      <t xml:space="preserve">7.8 In-unit bathroom fans or in-line fans are ENERGY STAR certified if used as part of the dwelling-unit mechanical ventilation system. </t>
    </r>
    <r>
      <rPr>
        <vertAlign val="superscript"/>
        <sz val="12"/>
        <color theme="1"/>
        <rFont val="Arial"/>
        <family val="2"/>
      </rPr>
      <t>57</t>
    </r>
  </si>
  <si>
    <t>Footnote 57. Bathroom fans with a rated flow rate ≥ 500 CFM are exempted from the requirement to be ENERGY STAR certified.</t>
  </si>
  <si>
    <t>Footnote 57 - 7.8</t>
  </si>
  <si>
    <t>7.9 If central exhaust fans, ≤ 1 HP, are installed as part of the dwelling-unit mechanical ventilation system, then they are direct-drive, ECM, with variable speed controllers. If &gt; 1 HP, they are installed with NEMATM Premium Motors.</t>
  </si>
  <si>
    <r>
      <t xml:space="preserve">7.10 Air inlet locations (Complete if ventilation air inlet locations were installed (2.22, 2.23); otherwise check “N/A”): </t>
    </r>
    <r>
      <rPr>
        <vertAlign val="superscript"/>
        <sz val="12"/>
        <color theme="1"/>
        <rFont val="Arial"/>
        <family val="2"/>
      </rPr>
      <t>58, 59</t>
    </r>
  </si>
  <si>
    <t>Footnote 58. Ventilation air inlets that are only visible via rooftop access are exempted from Item 7.9 and the Rater shall mark “N/A”. The outlet and inlet of balanced ventilation systems shall meet these spacing requirements unless manufacturer instructions indicate that a smaller distance may be used. However, if this occurs the manufacturer’s instructions shall be collected for documentation purposes.</t>
  </si>
  <si>
    <t>Footnote 58 - 7.10</t>
  </si>
  <si>
    <t>Footnote 59. Without proper maintenance, ventilation air inlet screens often become filled with debris. Therefore, EPA recommends, but does not require, that these ventilation air inlets be located so as to facilitate access and regular service by the building owner.</t>
  </si>
  <si>
    <t>Footnote 59 - 7.10</t>
  </si>
  <si>
    <t xml:space="preserve"> 7.10.1 Inlet(s) pull ventilation air directly from outdoors and not from attic, crawlspace, garage, or adjacent dwelling unit.</t>
  </si>
  <si>
    <r>
      <t xml:space="preserve"> 7.10.2 Inlet(s) are ≥ 2 ft. above grade or roof deck; ≥ 10 ft. of stretched-string distance from known contamination sources not exiting the roof, and ≥ 3 ft. distance from dryer exhausts and sources exiting the roof. </t>
    </r>
    <r>
      <rPr>
        <vertAlign val="superscript"/>
        <sz val="12"/>
        <color theme="1"/>
        <rFont val="Arial"/>
        <family val="2"/>
      </rPr>
      <t>60</t>
    </r>
  </si>
  <si>
    <t>Footnote 60. Known contamination sources include, but are not limited to, stacks, vents, exhausts, and vehicles.</t>
  </si>
  <si>
    <t>Footnote 60 - 7.10.2</t>
  </si>
  <si>
    <t>8. Local Mechanical Exhaust </t>
  </si>
  <si>
    <r>
      <t xml:space="preserve">Dwelling Unit Mechanical exhaust - </t>
    </r>
    <r>
      <rPr>
        <sz val="12"/>
        <color theme="1"/>
        <rFont val="Arial"/>
        <family val="2"/>
      </rPr>
      <t xml:space="preserve">In each dwelling unit kitchen and bathroom, a system is installed that exhausts directly to the outdoors and meets one of the following Rater-measured airflow and manufacturer-rated sound level standards: </t>
    </r>
    <r>
      <rPr>
        <vertAlign val="superscript"/>
        <sz val="12"/>
        <color theme="1"/>
        <rFont val="Arial"/>
        <family val="2"/>
      </rPr>
      <t>54, 61</t>
    </r>
  </si>
  <si>
    <t>Footnote 54 - 8 DUME</t>
  </si>
  <si>
    <t>Footnote 61. Continuous bathroom local mechanical exhaust fans shall be rated for sound at no less than the airflow rate in Item 8.2. Intermittent bathroom and both intermittent and continuous kitchen local mechanical exhaust fans are recommended, but not required, to be rated for sound at no less than the airflow rate in Items 8.1 and 8.2. Per ASHRAE 62.2-2010, an exhaust system is one or more fans that remove air from the building, causing outdoor air to enter by ventilation inlets or normal leakage paths through the building envelope (e.g., bath exhaust fans, range hoods, clothes dryers). Per ASHRAE 62.2-2010, a bathroom is any room containing a bathtub, shower, spa, or similar source of moisture.</t>
  </si>
  <si>
    <t>Footnote 61 - 8 DUME</t>
  </si>
  <si>
    <t>Location </t>
  </si>
  <si>
    <r>
      <t xml:space="preserve">8.1 Kitchen
</t>
    </r>
    <r>
      <rPr>
        <u/>
        <sz val="12"/>
        <color theme="1"/>
        <rFont val="Arial"/>
        <family val="2"/>
      </rPr>
      <t>Airflow</t>
    </r>
    <r>
      <rPr>
        <sz val="12"/>
        <color theme="1"/>
        <rFont val="Arial"/>
        <family val="2"/>
      </rPr>
      <t xml:space="preserve">
Continuous Rate:  ≥ 5 ACH, based on kitchen volume </t>
    </r>
    <r>
      <rPr>
        <vertAlign val="superscript"/>
        <sz val="12"/>
        <color theme="1"/>
        <rFont val="Arial"/>
        <family val="2"/>
      </rPr>
      <t>63, 64</t>
    </r>
    <r>
      <rPr>
        <sz val="12"/>
        <color theme="1"/>
        <rFont val="Arial"/>
        <family val="2"/>
      </rPr>
      <t xml:space="preserve">
Intermittent Rate </t>
    </r>
    <r>
      <rPr>
        <vertAlign val="superscript"/>
        <sz val="12"/>
        <color theme="1"/>
        <rFont val="Arial"/>
        <family val="2"/>
      </rPr>
      <t>62</t>
    </r>
    <r>
      <rPr>
        <sz val="12"/>
        <color theme="1"/>
        <rFont val="Arial"/>
        <family val="2"/>
      </rPr>
      <t xml:space="preserve">: ≥ 100 CFM and, if not integrated with range, also ≥ 5 ACH based on kitchen volume </t>
    </r>
    <r>
      <rPr>
        <vertAlign val="superscript"/>
        <sz val="12"/>
        <color theme="1"/>
        <rFont val="Arial"/>
        <family val="2"/>
      </rPr>
      <t>63, 64, 65</t>
    </r>
    <r>
      <rPr>
        <sz val="12"/>
        <color theme="1"/>
        <rFont val="Arial"/>
        <family val="2"/>
      </rPr>
      <t xml:space="preserve">
</t>
    </r>
    <r>
      <rPr>
        <u/>
        <sz val="12"/>
        <color theme="1"/>
        <rFont val="Arial"/>
        <family val="2"/>
      </rPr>
      <t>Sound</t>
    </r>
    <r>
      <rPr>
        <sz val="12"/>
        <color theme="1"/>
        <rFont val="Arial"/>
        <family val="2"/>
      </rPr>
      <t xml:space="preserve">
Continuous Rate: Recommended: ≤ 1 sone
Intermittent Rate </t>
    </r>
    <r>
      <rPr>
        <vertAlign val="superscript"/>
        <sz val="12"/>
        <color theme="1"/>
        <rFont val="Arial"/>
        <family val="2"/>
      </rPr>
      <t>62</t>
    </r>
    <r>
      <rPr>
        <sz val="12"/>
        <color theme="1"/>
        <rFont val="Arial"/>
        <family val="2"/>
      </rPr>
      <t>:  Recommended: ≤ 3 sones</t>
    </r>
  </si>
  <si>
    <t>Footnote 62. An intermittent mechanical exhaust system, where provided, shall be designed to operate as needed by the occupant. Control devices shall not impede occupant control in intermittent systems.</t>
  </si>
  <si>
    <t>Footnote 62 - 8.1</t>
  </si>
  <si>
    <t>Footnote 63. Kitchen volume shall be determined by drawing the smallest possible rectangle on the floor plan that encompasses all cabinets, pantries, islands, peninsulas, ranges / ovens, and the kitchen exhaust fan, and multiplying by the average ceiling height for this area. In addition, the continuous kitchen exhaust rate shall be ≥ 25 CFM, per 2009 IRC Table M1507.3, regardless of the rate calculated using the kitchen volume. Cabinet volume shall be included in the kitchen volume.</t>
  </si>
  <si>
    <t>Footnote 63 - 8.1</t>
  </si>
  <si>
    <r>
      <t xml:space="preserve">Footnote 64. Alternatively, the prescriptive duct sizing requirements in Table 5.3 of ASHRAE 62.2-2010 are permitted to be used for kitchen exhaust fans based upon the rated airflow of the fan at 0.25 IWC. If the rated airflow is unknown, ≥ 6 in. smooth duct shall be used, with a rectangular to round duct transition as needed. Guidance to assist partners with these alternatives is available at </t>
    </r>
    <r>
      <rPr>
        <sz val="12"/>
        <color rgb="FF0433FF"/>
        <rFont val="Arial"/>
        <family val="2"/>
      </rPr>
      <t>www.energystar.gov/newhomesguidance</t>
    </r>
    <r>
      <rPr>
        <sz val="12"/>
        <color theme="0" tint="-0.499984740745262"/>
        <rFont val="Arial"/>
        <family val="2"/>
      </rPr>
      <t>. As an alternative to Item 8.1, dwelling units are permitted to use a continuous kitchen exhaust rate of 25 CFM per 2009 IRC Table M1507.3, if they are either a) PHIUS+ or PHI certified, or b) provide both dwelling-unit ventilation and local mechanical kitchen exhaust using a balanced system, and have a Rater-verified whole-building infiltration rate ≤ 0.05 CFM50 per sq. ft. of Enclosure Area, and a Rater-verified dwelling unit compartmentalization rate ≤ 0.30 CFM50 per sq. ft. of Enclosure Area if multiple dwelling units are present in the building. ‘Enclosure Area’ is defined as the area of the surfaces that bound the volume being pressurized / depressurized during the test.</t>
    </r>
  </si>
  <si>
    <t>Footnote 64 - 8.1</t>
  </si>
  <si>
    <t>Footnote 65. All intermittent kitchen exhaust fans must be capable of exhausting at least 100 CFM. In addition, if the fan is not part of a vented range hood or appliance-range hood combination (i.e., if the fan is not integrated with the range), then it must also be capable of exhausting ≥ 5 ACH, based on the kitchen volume.</t>
  </si>
  <si>
    <t>Footnote 65 - 8.1</t>
  </si>
  <si>
    <r>
      <t xml:space="preserve">8.2 Bathroom
</t>
    </r>
    <r>
      <rPr>
        <u/>
        <sz val="12"/>
        <color theme="1"/>
        <rFont val="Arial"/>
        <family val="2"/>
      </rPr>
      <t>Airflow</t>
    </r>
    <r>
      <rPr>
        <sz val="12"/>
        <color theme="1"/>
        <rFont val="Arial"/>
        <family val="2"/>
      </rPr>
      <t xml:space="preserve">
Continuous Rate:  ≥ 20 CFM
Intermittent Rate </t>
    </r>
    <r>
      <rPr>
        <vertAlign val="superscript"/>
        <sz val="12"/>
        <color theme="1"/>
        <rFont val="Arial"/>
        <family val="2"/>
      </rPr>
      <t>62</t>
    </r>
    <r>
      <rPr>
        <sz val="12"/>
        <color theme="1"/>
        <rFont val="Arial"/>
        <family val="2"/>
      </rPr>
      <t xml:space="preserve">: ≥ 50 CFM
</t>
    </r>
    <r>
      <rPr>
        <u/>
        <sz val="12"/>
        <color theme="1"/>
        <rFont val="Arial"/>
        <family val="2"/>
      </rPr>
      <t>Sound</t>
    </r>
    <r>
      <rPr>
        <sz val="12"/>
        <color theme="1"/>
        <rFont val="Arial"/>
        <family val="2"/>
      </rPr>
      <t xml:space="preserve">
Continuous Rate: Required: ≤ 2 sones
Intermittent Rate </t>
    </r>
    <r>
      <rPr>
        <vertAlign val="superscript"/>
        <sz val="12"/>
        <color theme="1"/>
        <rFont val="Arial"/>
        <family val="2"/>
      </rPr>
      <t>62</t>
    </r>
    <r>
      <rPr>
        <sz val="12"/>
        <color theme="1"/>
        <rFont val="Arial"/>
        <family val="2"/>
      </rPr>
      <t>:  Recommended: ≤ 3 sones</t>
    </r>
  </si>
  <si>
    <t>Footnote 62 - 8.2</t>
  </si>
  <si>
    <r>
      <t xml:space="preserve">Common Space </t>
    </r>
    <r>
      <rPr>
        <b/>
        <vertAlign val="superscript"/>
        <sz val="12"/>
        <color theme="1"/>
        <rFont val="Arial"/>
        <family val="2"/>
      </rPr>
      <t>2</t>
    </r>
    <r>
      <rPr>
        <b/>
        <sz val="12"/>
        <color theme="1"/>
        <rFont val="Arial"/>
        <family val="2"/>
      </rPr>
      <t xml:space="preserve"> and Garage Mechanical Exhaust </t>
    </r>
  </si>
  <si>
    <t>Footnote 2. The term ‘common space’ refers to any spaces in the building being certified that serve a function in support of the residential part of the building that is not part of a dwelling or sleeping unit. This includes spaces used by residents, such as corridors, stairs, lobbies, laundry rooms, exercise rooms, residential recreation rooms, and dining halls, as well as offices and other spaces used by building management, administration or maintenance in support of the residents.</t>
  </si>
  <si>
    <t>Footnote 2 - 8 CSME</t>
  </si>
  <si>
    <r>
      <t xml:space="preserve">8.3 Measured exhaust rates are  ≥ ASHRAE 62.1 rates (2c). </t>
    </r>
    <r>
      <rPr>
        <vertAlign val="superscript"/>
        <sz val="12"/>
        <color theme="1"/>
        <rFont val="Arial"/>
        <family val="2"/>
      </rPr>
      <t>55</t>
    </r>
  </si>
  <si>
    <t xml:space="preserve">
Footnote 55. While common spaces are not under the scope of ANSI / RESNET / ICC Std. 380, the ventilation air flow and exhaust air flows in common spaces shall be measured in accordance with the procedures in ANSI / RESNET / ICC Std. 380. The air flows may be measured by a Rater or a certified air-balancing contractor under the observation of a Rater. Where a system provides supply air that is a mix of return and outdoor air, and not 100% outdoor air, the outdoor air intake airflow shall be measured and compared to the total supply airflow to determine percentage of outdoor air supplied. This percentage shall be applied to airflow measured at supply registers to determine outdoor air provided for comparison to design airflow rates.</t>
  </si>
  <si>
    <t>Footnote 54 - 8.3</t>
  </si>
  <si>
    <t>8.4 Where a garage exhaust ventilation system is installed, it is equipped with controls that sense CO and NO2.</t>
  </si>
  <si>
    <t>9. Filtration </t>
  </si>
  <si>
    <r>
      <t xml:space="preserve">9.1 MERV 6+ filter(s) installed in each dwelling unit ducted mech. System, serving an individual dwelling unit located to facilitate access &amp; regular service by the occupant or building owner. </t>
    </r>
    <r>
      <rPr>
        <vertAlign val="superscript"/>
        <sz val="12"/>
        <color theme="1"/>
        <rFont val="Arial"/>
        <family val="2"/>
      </rPr>
      <t>66</t>
    </r>
  </si>
  <si>
    <t>Footnote 66. Based upon, ASHRAE 62.2-2010, ducted mechanical systems are those that supply air to an occupiable space with a total amount of supply ductwork exceeding 10 ft. in length and through a thermal conditioning component, except for evaporative coolers. Systems that do not meet this definition are exempt from this requirement. While filters are recommended for mini-split systems, HRV’s, and ERV’s, these systems, ducted or not, typically do not have MERV-rated filters available for use and are, therefore, also exempted under this version of the requirements. HVAC filters located in the attic shall be considered accessible to the occupant or building owner if either 1) drop-down stairs provide access to attic and a permanently installed walkway has been provided between the attic access location and the filter or 2) the filter location enables arm-length access from a portable ladder without the need to step into the attic and the ceiling height where access is provided is ≤ 12 ft.</t>
  </si>
  <si>
    <t>Footnote 66 - 9.1</t>
  </si>
  <si>
    <r>
      <t xml:space="preserve"> 9.1.1 Filter access panel includes gasket and fits snugly against the exposed edge of filter when closed to prevent bypass. </t>
    </r>
    <r>
      <rPr>
        <vertAlign val="superscript"/>
        <sz val="12"/>
        <color theme="1"/>
        <rFont val="Arial"/>
        <family val="2"/>
      </rPr>
      <t>67</t>
    </r>
  </si>
  <si>
    <t>Footnote 67. The filter media box (i.e., the component in the HVAC system that houses the filter) may be either site-fabricated by the installer or pre-fabricated by the manufacturer to meet this requirement. These requirements only apply when the filter is installed in a filter media box located in the HVAC system, not when the filter is installed flush with the return grill.</t>
  </si>
  <si>
    <t>Footnote 67 - 9.1.1</t>
  </si>
  <si>
    <t xml:space="preserve"> 9.1.2 All return air and mechanically supplied outdoor air passes through filter prior to conditioning.</t>
  </si>
  <si>
    <t>10. Combustion Appliances </t>
  </si>
  <si>
    <r>
      <t xml:space="preserve">10.1 Furnaces, boilers, and water heaters located within the building’s pressure boundary are mechanically drafted or direct-vented. If mechanically drafted, the minimum volume of combustion air required for safe operation by the manufacturer and/or code shall be met or exceeded and make-up air sources must be mechanically closed when the combustion appliance is not in operation. Alternatives in Footnote 70. </t>
    </r>
    <r>
      <rPr>
        <vertAlign val="superscript"/>
        <sz val="12"/>
        <color theme="1"/>
        <rFont val="Arial"/>
        <family val="2"/>
      </rPr>
      <t>68, 69, 70</t>
    </r>
  </si>
  <si>
    <t>Footnote 68.The pressure boundary is the primary enclosure boundary separating indoor and outdoor air. For example, a volume that has more leakage to outside than to conditioned space would be outside the pressure boundary.</t>
  </si>
  <si>
    <t>Footnote 68 - 10.1</t>
  </si>
  <si>
    <t>Footnote 69. Per the 2009 International Mechanical Code, a direct-vent appliance is one that is constructed and installed so that all air for combustion is derived from the outdoor atmosphere and all flue gases are discharged to the outside atmosphere; a mechanical draft system is a venting system designed to remove flue or vent gases by mechanical means consisting of an induced draft portion under non-positive static pressure or a forced draft portion under positive static pressure; and a natural draft system is a venting system designed to remove flue or vent gases under nonpositive static vent pressure entirely by natural draft.</t>
  </si>
  <si>
    <t>Footnote 69 - 10.1</t>
  </si>
  <si>
    <t>Footnote 70. Naturally drafted equipment is only allowed if located in a space outside the pressure boundary, where the envelope assemblies separating it from conditioned space are insulated and air-sealed.</t>
  </si>
  <si>
    <t>Footnote 70 - 10.1</t>
  </si>
  <si>
    <r>
      <t xml:space="preserve">10.2 Fireplaces located within the building’s pressure boundary are direct-vented. </t>
    </r>
    <r>
      <rPr>
        <vertAlign val="superscript"/>
        <sz val="12"/>
        <color theme="1"/>
        <rFont val="Arial"/>
        <family val="2"/>
      </rPr>
      <t>68, 69</t>
    </r>
  </si>
  <si>
    <t>Footnote 68. The pressure boundary is the primary enclosure boundary separating indoor and outdoor air. For example, a volume that has more leakage to outside than to conditioned space would be outside the pressure boundary.</t>
  </si>
  <si>
    <t>Footnote 68 - 10.2</t>
  </si>
  <si>
    <t>Footnote 69 - 10.2</t>
  </si>
  <si>
    <r>
      <t xml:space="preserve">10.3 No unvented combustion appliances other than cooking ranges or ovens are located inside the building’s pressure boundary. For cooking ranges and ovens, local mechanical exhaust per Checklist Item 8.1 requirements must be met. </t>
    </r>
    <r>
      <rPr>
        <vertAlign val="superscript"/>
        <sz val="12"/>
        <color theme="1"/>
        <rFont val="Arial"/>
        <family val="2"/>
      </rPr>
      <t>68</t>
    </r>
  </si>
  <si>
    <t>Footnote 68 - 10.3</t>
  </si>
  <si>
    <t>Other </t>
  </si>
  <si>
    <t>11. Domestic Hot Water </t>
  </si>
  <si>
    <r>
      <t xml:space="preserve">11.1 Prescriptive Path: Hot water equipment rated in EF or UEF meet the efficiency levels specified in the ENERGY STAR Multifamily Reference Design. Boilers providing hot water are ≥85% Et. </t>
    </r>
    <r>
      <rPr>
        <vertAlign val="superscript"/>
        <sz val="12"/>
        <color theme="1"/>
        <rFont val="Arial"/>
        <family val="2"/>
      </rPr>
      <t>71</t>
    </r>
  </si>
  <si>
    <t>Footnote 71. Where water heater efficiency is rated in Uniform Energy Factor (UEF) rather than Energy Factor (EF), the EF may be calculated from the Uniform Energy Factor (UEF) using the RESNET EF Calculator 2017. The calculated EF must meet the efficiency levels specified in the ENERGY STAR Multifamily Reference Design.</t>
  </si>
  <si>
    <t>Footnote 71 - 11.1</t>
  </si>
  <si>
    <r>
      <t xml:space="preserve">11.2 ERI: For hot water equipment serving common spaces but not dwelling units nor shared laundry: where rated EF or UEF, meet the efficiency levels specified in the ENERGY STAR Multifamily Reference Design. Where rated in thermal efficiency, meet or exceed 85% Et. </t>
    </r>
    <r>
      <rPr>
        <vertAlign val="superscript"/>
        <sz val="12"/>
        <color theme="1"/>
        <rFont val="Arial"/>
        <family val="2"/>
      </rPr>
      <t>71</t>
    </r>
  </si>
  <si>
    <t>Footnote 71 - 11.2</t>
  </si>
  <si>
    <t>11.3 For in-unit storage water heaters, AHRI Certificate confirms the presence of a heat trap.</t>
  </si>
  <si>
    <r>
      <t xml:space="preserve">11.4 DHW piping located in the dwelling unit is insulated with a minimum of R-3. </t>
    </r>
    <r>
      <rPr>
        <vertAlign val="superscript"/>
        <sz val="12"/>
        <color theme="1"/>
        <rFont val="Arial"/>
        <family val="2"/>
      </rPr>
      <t>72</t>
    </r>
  </si>
  <si>
    <t>Footnote 72. In accordance with Section 7.4.3 of ASHRAE 90.1-2016, the following in-unit DHW piping requires insulation:
a. Recirculating system piping, including the supply and return piping of a circulating tank type water heater.
b. The first 8 feet of outlet piping of a constant-temperature nonrecirculating storage system.
c. The first 8 feet of branch piping connecting to recirculated, heat-traced, or impedance heated piping.
d. The inlet piping between the storage tank and a heat trap in a nonrecirculating storage system.
e. Piping that is externally heated (such as heat trace or impedance heating).</t>
  </si>
  <si>
    <t>Footnote 72 - 11.4</t>
  </si>
  <si>
    <r>
      <t xml:space="preserve">11.5 Rater-measured delivery temperatures at faucets and showerheads do not exceed 125°F. </t>
    </r>
    <r>
      <rPr>
        <vertAlign val="superscript"/>
        <sz val="12"/>
        <color theme="1"/>
        <rFont val="Arial"/>
        <family val="2"/>
      </rPr>
      <t>73</t>
    </r>
  </si>
  <si>
    <t>Footnote 73. To measure the delivery temperature, turn the hot water at a fixture completely on and place a digital thermometer in the stream of water. Observe the thermometer and when no additional rise in temperature occurs after 10 seconds, confirm this temperature does not exceed 125°F.</t>
  </si>
  <si>
    <t>Footnote 73 - 11.5</t>
  </si>
  <si>
    <t>12. Lighting </t>
  </si>
  <si>
    <r>
      <t xml:space="preserve">12.1 Common Space </t>
    </r>
    <r>
      <rPr>
        <vertAlign val="superscript"/>
        <sz val="12"/>
        <color theme="1"/>
        <rFont val="Arial"/>
        <family val="2"/>
      </rPr>
      <t>2</t>
    </r>
    <r>
      <rPr>
        <sz val="12"/>
        <color theme="1"/>
        <rFont val="Arial"/>
        <family val="2"/>
      </rPr>
      <t xml:space="preserve"> Lighting Controls:</t>
    </r>
  </si>
  <si>
    <t>Footnote 2 - 12.1</t>
  </si>
  <si>
    <r>
      <t xml:space="preserve"> 12.1.1 ERI and Prescriptive Path: All common spaces </t>
    </r>
    <r>
      <rPr>
        <vertAlign val="superscript"/>
        <sz val="12"/>
        <color theme="1"/>
        <rFont val="Arial"/>
        <family val="2"/>
      </rPr>
      <t>2</t>
    </r>
    <r>
      <rPr>
        <sz val="12"/>
        <color theme="1"/>
        <rFont val="Arial"/>
        <family val="2"/>
      </rPr>
      <t xml:space="preserve"> (including shared garages), except the building lobby and where automatic shutoff would endanger the safety of occupants, have occupancy sensors or automatic bi-level lighting controls installed and operation has been verified.</t>
    </r>
  </si>
  <si>
    <t>Footnote 2 - 12.1.1</t>
  </si>
  <si>
    <r>
      <t xml:space="preserve"> 12.1.2 ASHRAE path only: All common spaces </t>
    </r>
    <r>
      <rPr>
        <vertAlign val="superscript"/>
        <sz val="12"/>
        <color theme="1"/>
        <rFont val="Arial"/>
        <family val="2"/>
      </rPr>
      <t>2</t>
    </r>
    <r>
      <rPr>
        <sz val="12"/>
        <color theme="1"/>
        <rFont val="Arial"/>
        <family val="2"/>
      </rPr>
      <t xml:space="preserve"> (including shared garages), except the building lobby, corridors, and stairwells and where automatic shutoff would endanger the safety of occupants, have occupancy sensors or automatic bi-level lighting controls installed and operation has been verified.</t>
    </r>
  </si>
  <si>
    <t>Footnote 2 - 12.1.2</t>
  </si>
  <si>
    <r>
      <t xml:space="preserve">12.2 Common Space 2 Lighting Power Density Maximum (except garages): </t>
    </r>
    <r>
      <rPr>
        <vertAlign val="superscript"/>
        <sz val="12"/>
        <color theme="1"/>
        <rFont val="Arial"/>
        <family val="2"/>
      </rPr>
      <t>74</t>
    </r>
  </si>
  <si>
    <t>Footnote 74. Senior housing projects can use the space-by-space allowances for ‘facilities for the visually impaired’ in ASHRAE 90.1-2016 Appendix G Table G3.7 for spaces used primarily by building residents. For example, 1.15 W/SF lighting power allowance may be used for the corridors in the baseline. To qualify for the increased allowance, the project must be designed to comply with the light levels in ANSI / IES RP-28 and must provide housing for seniors and/or people with special visual needs. Prescriptive Path dwelling unit overall in-unit lighting power density is permitted to be ≤ 1.3 W/SF, using 1.65 W/SF where lighting is not installed.</t>
  </si>
  <si>
    <t>Footnote 74 - 12.2</t>
  </si>
  <si>
    <r>
      <t xml:space="preserve"> 12.2.1 ERI and Prescriptive Path: Total installed lighting power for the combined common spaces </t>
    </r>
    <r>
      <rPr>
        <vertAlign val="superscript"/>
        <sz val="12"/>
        <color theme="1"/>
        <rFont val="Arial"/>
        <family val="2"/>
      </rPr>
      <t>2</t>
    </r>
    <r>
      <rPr>
        <sz val="12"/>
        <color theme="1"/>
        <rFont val="Arial"/>
        <family val="2"/>
      </rPr>
      <t xml:space="preserve"> must not exceed ASHRAE 90.1-2007 allowances for those combined spaces, using the Space-by-Space or Building Area Method. See Footnote 75 for allowances. </t>
    </r>
    <r>
      <rPr>
        <vertAlign val="superscript"/>
        <sz val="12"/>
        <color theme="1"/>
        <rFont val="Arial"/>
        <family val="2"/>
      </rPr>
      <t>75</t>
    </r>
  </si>
  <si>
    <t>Footnote 2 - 12.2.1</t>
  </si>
  <si>
    <t>Footnote 75. Lighting power density values from ASHRAE 90.1-2007 Section 9 for Space-by-Space Method for typical common spaces in multifamily properties are shown in the table below. Projects following the Building Area method, the lighting power density is 0.7 W/ft2. For spaces not shown, refer to ASHRAE 90.1-2007 Section 9.
SEE TABLE IN REFERENCE TABLES TAB - Lighting Power Density</t>
  </si>
  <si>
    <t>Footnote 75 - 12.2.1</t>
  </si>
  <si>
    <r>
      <t xml:space="preserve"> 12.2.2 ASHRAE path only: Total installed lighting power for the combined common spaces </t>
    </r>
    <r>
      <rPr>
        <vertAlign val="superscript"/>
        <sz val="12"/>
        <color theme="1"/>
        <rFont val="Arial"/>
        <family val="2"/>
      </rPr>
      <t>2</t>
    </r>
    <r>
      <rPr>
        <sz val="12"/>
        <color theme="1"/>
        <rFont val="Arial"/>
        <family val="2"/>
      </rPr>
      <t xml:space="preserve"> must not exceed ASHRAE 90.1-2007 allowances for those combined spaces, using the Space-by-Space or Building Area Method, by more than 20%. See Footnote 75 for allowances. </t>
    </r>
    <r>
      <rPr>
        <vertAlign val="superscript"/>
        <sz val="12"/>
        <color theme="1"/>
        <rFont val="Arial"/>
        <family val="2"/>
      </rPr>
      <t>75</t>
    </r>
  </si>
  <si>
    <t>Footnote 2 - 12.2.2</t>
  </si>
  <si>
    <t>Footnote 75 - 12.2.2</t>
  </si>
  <si>
    <t>12.3 Shared garages: Lighting power density does not exceed 0.24 W/ft2.</t>
  </si>
  <si>
    <t>12.4 Exterior lighting controls: Fixtures, including parking lot fixtures, must include automatic switching on timers or photocell controls except fixtures intended for 24-hour operation, required for security, or located on dwelling unit balconies.</t>
  </si>
  <si>
    <r>
      <t xml:space="preserve">12.5 ERI Path: All exterior and common space lighting fixtures meet the efficiency requirements in the ENERGY STAR Multifamily Reference Design, except fixtures located on dwelling unit balconies. </t>
    </r>
    <r>
      <rPr>
        <vertAlign val="superscript"/>
        <sz val="12"/>
        <color theme="1"/>
        <rFont val="Arial"/>
        <family val="2"/>
      </rPr>
      <t>76, 77</t>
    </r>
  </si>
  <si>
    <t>Footnote 76. This requirement applies to exterior lighting fixtures that are attached to the building, but does not apply to landscape or parking lot lighting fixtures.</t>
  </si>
  <si>
    <t>Footnote 76 - 12.5</t>
  </si>
  <si>
    <t>Footnote 77. For Prescriptive Path dwelling units, ENERGY STAR certified fixtures or light bulbs are required; however, the Rater is only responsible for verifying that the installed lighting meets the Tier I or Tier II definition specified in ANSI / RESNET / ICC Std. 301. For locations outside the dwelling unit, as an alternative to ENERGY STAR certified fixtures or light bulbs, lighting that meets the Tier I or Tier II definition specified in ANSI / RESNET / ICC Std.301 is permitted.</t>
  </si>
  <si>
    <t>Footnote 77 - 12.5</t>
  </si>
  <si>
    <r>
      <t xml:space="preserve">12.6 Prescriptive Path: All lighting fixtures (i.e., dwelling units, common spaces, and exterior) meet the efficiency requirements in the ENERGY STAR Multifamily Reference Design. </t>
    </r>
    <r>
      <rPr>
        <vertAlign val="superscript"/>
        <sz val="12"/>
        <color theme="1"/>
        <rFont val="Arial"/>
        <family val="2"/>
      </rPr>
      <t>76, 77</t>
    </r>
  </si>
  <si>
    <t>Footnote 76 - 12.6</t>
  </si>
  <si>
    <t>Footnote 77 - 12.6</t>
  </si>
  <si>
    <r>
      <t xml:space="preserve">12.7 Prescriptive Path: Dwelling unit overall in-unit lighting power density ≤ 0.75 W/ft2. When calculating overall lighting power density, use 1.1 W/ft2 where lighting is not installed. </t>
    </r>
    <r>
      <rPr>
        <vertAlign val="superscript"/>
        <sz val="12"/>
        <color theme="1"/>
        <rFont val="Arial"/>
        <family val="2"/>
      </rPr>
      <t>74</t>
    </r>
  </si>
  <si>
    <t>Footnote 74 - 12.7</t>
  </si>
  <si>
    <t>13. Appliances, Ceiling Fans, and Plumbing Fixtures </t>
  </si>
  <si>
    <r>
      <t xml:space="preserve">13.1 Prescriptive Path: Installed appliances and plumbing fixtures in dwelling units and common spaces meet the criteria in the ENERGY STAR Multifamily Reference Design. </t>
    </r>
    <r>
      <rPr>
        <vertAlign val="superscript"/>
        <sz val="12"/>
        <color theme="1"/>
        <rFont val="Arial"/>
        <family val="2"/>
      </rPr>
      <t>78</t>
    </r>
  </si>
  <si>
    <t>Footnote 78. Where an appliance type is not eligible for ENERGY STAR certification, (e.g., commercial dryers) the appliance is exempt from this requirement. Where a bathroom faucet or aerator is not eligible for WaterSense certification, (e.g., public use lavatory faucets) the fixture is exempt from this requirement.</t>
  </si>
  <si>
    <t>Footnote 78 - 13.1</t>
  </si>
  <si>
    <r>
      <t xml:space="preserve">13.2 ERI Path: Installed appliances and plumbing fixtures in common spaces, and not included in the ERI model, meet the criteria in the ENERGY STAR Multifamily Reference Design. </t>
    </r>
    <r>
      <rPr>
        <vertAlign val="superscript"/>
        <sz val="12"/>
        <color theme="1"/>
        <rFont val="Arial"/>
        <family val="2"/>
      </rPr>
      <t>78</t>
    </r>
  </si>
  <si>
    <t>Footnote 78 - 13.2</t>
  </si>
  <si>
    <t>13.3 Prescriptive Path: Shower compartments with multiple fixtures cannot be operated simultaneously OR the total flow rate per shower compartment must not exceed 1.75 gallons per minute, as rated at 80 psi.</t>
  </si>
  <si>
    <t>14. Whole Building Energy Consumption Data Acquisition </t>
  </si>
  <si>
    <r>
      <t xml:space="preserve">14.1 For buildings 50,000 ft2 and larger, a strategy that enables the collection of monthly or annual building-level energy consumption data (electricity, natural gas, chilled water, steam, fuel oil, propane, etc.) has been confirmed. </t>
    </r>
    <r>
      <rPr>
        <vertAlign val="superscript"/>
        <sz val="12"/>
        <color theme="1"/>
        <rFont val="Arial"/>
        <family val="2"/>
      </rPr>
      <t>79</t>
    </r>
  </si>
  <si>
    <t>Footnote 79. Strategies include: an agreement with the utility companies to provide the aggregated building-level data, in a spreadsheet format or directly through Portfolio Manager; OR evidence that securing signed utility data release forms will be a mandatory component of all lease agreements; OR installation of a building-level energy monitor, data acquisition system, or utility-owned energy meter. If an energy monitor is installed, the builder shall provide the building operator with the manufacturer’s documentation and operations manual. EPA recommends, but does not require, that one of these strategies also be implemented in buildings 25,000-49,999 ft2.</t>
  </si>
  <si>
    <t>Footnote 79 - 14.1</t>
  </si>
  <si>
    <t>Rater Pre-Drywall Inspection Date(s):</t>
  </si>
  <si>
    <t>Rater Initials:</t>
  </si>
  <si>
    <t>Rater Company Name:</t>
  </si>
  <si>
    <t xml:space="preserve">Rater Name: </t>
  </si>
  <si>
    <t>Rater Final Inspection Date(s):</t>
  </si>
  <si>
    <t>Builder/Developer Employee:</t>
  </si>
  <si>
    <t>Builder Inspection Date(s):</t>
  </si>
  <si>
    <t>Builder Initials:</t>
  </si>
  <si>
    <t>Builder/Developer Name:</t>
  </si>
  <si>
    <t>Licensed Professional:</t>
  </si>
  <si>
    <t>LP Inspection Date(s):</t>
  </si>
  <si>
    <t>LP Initials:</t>
  </si>
  <si>
    <t xml:space="preserve">Instructions: </t>
  </si>
  <si>
    <r>
      <rPr>
        <b/>
        <sz val="10"/>
        <rFont val="Arial"/>
        <family val="2"/>
      </rPr>
      <t xml:space="preserve">Using Tables: </t>
    </r>
    <r>
      <rPr>
        <sz val="10"/>
        <rFont val="Arial"/>
        <family val="2"/>
      </rPr>
      <t>Prior to the Proposed Design submittal, the yellow cells in the "Unit Types" table should be filled out for the unique floorplans in the project. Prior to testing, each unit in the project should be defined and assigned a unit type in the "Unit Details" table. These two tables will enable the generation of the testing targets and allow the user to track testing results of all items on an individual apartment basis.
Prior to the As-Built submittal or as testing is completed, enter test values into all orange cells in the Testing Results section. Pass/Fail values will display at the unit level and for the entire checklist item. Additionally, prior to As-Built submittal, complete the orange cells in the "Label Printing Data Entry" table.</t>
    </r>
    <r>
      <rPr>
        <sz val="10"/>
        <color rgb="FFFF0000"/>
        <rFont val="Arial"/>
        <family val="2"/>
      </rPr>
      <t xml:space="preserve">
</t>
    </r>
    <r>
      <rPr>
        <b/>
        <sz val="10"/>
        <rFont val="Arial"/>
        <family val="2"/>
      </rPr>
      <t xml:space="preserve">Printing: </t>
    </r>
    <r>
      <rPr>
        <sz val="10"/>
        <rFont val="Arial"/>
        <family val="2"/>
      </rPr>
      <t>Optimized for Landscape view</t>
    </r>
  </si>
  <si>
    <t>UNIT TYPES</t>
  </si>
  <si>
    <r>
      <t xml:space="preserve">Label Printing Data Entry </t>
    </r>
    <r>
      <rPr>
        <sz val="10"/>
        <color theme="1"/>
        <rFont val="Arial"/>
        <family val="2"/>
      </rPr>
      <t>- this area should be populated during the As-Built Submittal to facilitate label &amp; certificate printing</t>
    </r>
  </si>
  <si>
    <t>UNIT TYPE</t>
  </si>
  <si>
    <t>BEDROOMS</t>
  </si>
  <si>
    <t>BATHROOMS</t>
  </si>
  <si>
    <t>AREA</t>
  </si>
  <si>
    <t>PERIMETER</t>
  </si>
  <si>
    <t>DWELLING UNIT HEIGHT</t>
  </si>
  <si>
    <t>ENCLOSURE AREA</t>
  </si>
  <si>
    <t># RETURNS</t>
  </si>
  <si>
    <t>VENTILATION (CFM)</t>
  </si>
  <si>
    <t>ASHRAE 62.2 - 2010</t>
  </si>
  <si>
    <t>Ventilation &gt; ASHRAE 62.2</t>
  </si>
  <si>
    <t>KITCHEN VENTILATION</t>
  </si>
  <si>
    <r>
      <t>KITCHEN VOLUME(ft</t>
    </r>
    <r>
      <rPr>
        <b/>
        <vertAlign val="superscript"/>
        <sz val="10"/>
        <color theme="1"/>
        <rFont val="Arial"/>
        <family val="2"/>
      </rPr>
      <t>3</t>
    </r>
    <r>
      <rPr>
        <b/>
        <sz val="10"/>
        <color theme="1"/>
        <rFont val="Arial"/>
        <family val="2"/>
      </rPr>
      <t>)</t>
    </r>
  </si>
  <si>
    <t>BATHROOM 1 VENTILATION</t>
  </si>
  <si>
    <t>BATHROOM 2 VENTILATION</t>
  </si>
  <si>
    <t>BATHROOM 3 VENTILATION</t>
  </si>
  <si>
    <t>AC SIZE (Tons)</t>
  </si>
  <si>
    <t>Ceiling Insulation (R-Value)</t>
  </si>
  <si>
    <t>Wall Insulation  (R-Value)</t>
  </si>
  <si>
    <t>Floor Insulation  (R-Value)</t>
  </si>
  <si>
    <t>Slab Insulation (R-Value)</t>
  </si>
  <si>
    <t>Window U-Factor</t>
  </si>
  <si>
    <t>Window SHGC</t>
  </si>
  <si>
    <t>Primary Heating System Type</t>
  </si>
  <si>
    <t>Primary Heating Fuel</t>
  </si>
  <si>
    <t>Primary Heating Efficiency</t>
  </si>
  <si>
    <t>Primary Heating Efficiency Unit</t>
  </si>
  <si>
    <t>Primary Cooling System Type</t>
  </si>
  <si>
    <t>Primary Cooling Fuel</t>
  </si>
  <si>
    <t>Primary Cooling Efficiency</t>
  </si>
  <si>
    <t>Primary Cooling Efficiency Unit</t>
  </si>
  <si>
    <t>Primary Hot Water System Type</t>
  </si>
  <si>
    <t>Primary Hot Water Fuel</t>
  </si>
  <si>
    <t>Primary Hot Water Efficiency (EF)</t>
  </si>
  <si>
    <t>% ENERGY STAR Certified Lighting</t>
  </si>
  <si>
    <t># ES Refrigerators</t>
  </si>
  <si>
    <t># ES Ceiling Fans</t>
  </si>
  <si>
    <t># ES Dishwashers</t>
  </si>
  <si>
    <t># ES Exhaust Fans</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</si>
  <si>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</si>
  <si>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</si>
  <si>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</si>
  <si>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</si>
  <si>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</si>
  <si>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</si>
  <si>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</si>
  <si>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</si>
  <si>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</si>
  <si>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</si>
  <si>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</si>
  <si>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</si>
  <si>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</si>
  <si>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</si>
  <si>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</si>
  <si>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</si>
  <si>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</si>
  <si>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</si>
  <si>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</si>
  <si>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</si>
  <si>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</si>
  <si>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</si>
  <si>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</si>
  <si>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</si>
  <si>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</si>
  <si>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</si>
  <si>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</si>
  <si>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</si>
  <si>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</si>
  <si>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</si>
  <si>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</si>
  <si>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</si>
  <si>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</si>
  <si>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</si>
  <si>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</si>
  <si>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</si>
  <si>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</si>
  <si>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</si>
  <si>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</si>
  <si>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</si>
  <si>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</si>
  <si>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</si>
  <si>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</si>
  <si>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</si>
  <si>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</si>
  <si>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</si>
  <si>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</si>
  <si>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</si>
  <si>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</si>
  <si>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</si>
  <si>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</si>
  <si>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</si>
  <si>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</si>
  <si>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NOTES</t>
  </si>
  <si>
    <t>UNIT DETAILS</t>
  </si>
  <si>
    <t>TESTING TARGETS</t>
  </si>
  <si>
    <t>SAMPLING</t>
  </si>
  <si>
    <t>TESTING RESULTS</t>
  </si>
  <si>
    <t>UNIT</t>
  </si>
  <si>
    <t>SQUARE FOOTAGE</t>
  </si>
  <si>
    <t>TOTAL DUCT LEAKAGE (6.4.1/6.4.2)</t>
  </si>
  <si>
    <t>Duct Leakage to Outdoors (Townhouses Only) (6.5)</t>
  </si>
  <si>
    <t>UNIT INFILTRATION (4.10)</t>
  </si>
  <si>
    <t>DWELLING UNIT VENTILATION (7.2)</t>
  </si>
  <si>
    <t>KITCHEN VENTILATION (8.1)</t>
  </si>
  <si>
    <t>BATH 1 VENTILATION (8.2)</t>
  </si>
  <si>
    <t>BATH 2 VENTILATION (8.2)</t>
  </si>
  <si>
    <t>BATH 3 VENTILATION (8.2)</t>
  </si>
  <si>
    <t>SAMPLE SET ID</t>
  </si>
  <si>
    <t>TESTING DATE</t>
  </si>
  <si>
    <t>TOTAL DUCT LEAKAGE (6.4.1 / 6.4.2)</t>
  </si>
  <si>
    <t>TEST
(ROUGH-IN/FINAL)</t>
  </si>
  <si>
    <t>PRESSURE DIFFERENCE
FOR NON-DUCTED RETURNS
(6.4.1/6.4.2)</t>
  </si>
  <si>
    <t>DUCT LEAKAGE TO OUTSIDE (TOWNHOUSES ONLY) (6.5)</t>
  </si>
  <si>
    <t>PRESSURE DIFFERENTIAL FOR AHU CLOSETS (4.10.1)</t>
  </si>
  <si>
    <t>RETURN SIDE STATIC PRESSURE (IWC) (5.4)</t>
  </si>
  <si>
    <t>SUPPLY SIDE STATIC PRESSURE (IWC) (5.4)</t>
  </si>
  <si>
    <t>TEMP AT SHOWER (11.5)</t>
  </si>
  <si>
    <t>TEMP AT FAUCETS (11.5)</t>
  </si>
  <si>
    <t>PRESSURE BALANCING
(BEDROOM 1) (6.2)</t>
  </si>
  <si>
    <t>PRESSURE BALANCING
(BEDROOM 2) (6.2)</t>
  </si>
  <si>
    <t>PRESSURE BALANCING
(BEDROOM 3) (6.2)</t>
  </si>
  <si>
    <t>Value</t>
  </si>
  <si>
    <t>Pass/Fail</t>
  </si>
  <si>
    <t>Checklist Item PASS/FAIL</t>
  </si>
  <si>
    <r>
      <rPr>
        <b/>
        <sz val="10"/>
        <rFont val="Arial"/>
        <family val="2"/>
      </rPr>
      <t xml:space="preserve">Using Tables: </t>
    </r>
    <r>
      <rPr>
        <sz val="10"/>
        <rFont val="Arial"/>
        <family val="2"/>
      </rPr>
      <t>Prior to the Proposed Design submittal, enter space names and design CFM values in yellow cells, and enter a description of your sampling plan below each table. Add additional columns or rows as needed. (</t>
    </r>
    <r>
      <rPr>
        <i/>
        <sz val="10"/>
        <rFont val="Arial"/>
        <family val="2"/>
      </rPr>
      <t>Note: Workbook does not allow you to remove columns after adding. Please save a copy of your workbook before adding new columns.</t>
    </r>
    <r>
      <rPr>
        <sz val="10"/>
        <rFont val="Arial"/>
        <family val="2"/>
      </rPr>
      <t xml:space="preserve">)
Prior to the As-Built Submittal, enter tested CFM values in the orange cells. Total airflow will calculate automatically and a Pass/Fail value will display. 
</t>
    </r>
    <r>
      <rPr>
        <b/>
        <sz val="10"/>
        <rFont val="Arial"/>
        <family val="2"/>
      </rPr>
      <t xml:space="preserve">Printing: </t>
    </r>
    <r>
      <rPr>
        <sz val="10"/>
        <rFont val="Arial"/>
        <family val="2"/>
      </rPr>
      <t>Optimized for both views (Portrait/Landscape).</t>
    </r>
  </si>
  <si>
    <r>
      <t xml:space="preserve">Common Space Outdoor Air Ventilation Rates (7.3): </t>
    </r>
    <r>
      <rPr>
        <sz val="10"/>
        <color theme="1"/>
        <rFont val="Arial"/>
        <family val="2"/>
      </rPr>
      <t>This section can be expanded; copy and insert columns as needed for additional spaces. Copy and insert rows as needed for multiple registers serving a space</t>
    </r>
  </si>
  <si>
    <t>Enter Space &gt;&gt;&gt;</t>
  </si>
  <si>
    <t>Ventilation Airflow Designed by ASHRAE 62.1, per Item 2.9 of
HVAC Design Report</t>
  </si>
  <si>
    <t>Tested CFM</t>
  </si>
  <si>
    <t>Total Airflow:</t>
  </si>
  <si>
    <t>15% ASHRAE</t>
  </si>
  <si>
    <t>Range (Upper)</t>
  </si>
  <si>
    <t>Range (Lower)</t>
  </si>
  <si>
    <t>PASS/FAIL</t>
  </si>
  <si>
    <t>Sampling Plan:</t>
  </si>
  <si>
    <r>
      <t xml:space="preserve">Common Space Exhaust Airflow Rates (8.3): </t>
    </r>
    <r>
      <rPr>
        <sz val="10"/>
        <color theme="1"/>
        <rFont val="Arial"/>
        <family val="2"/>
      </rPr>
      <t>This section can be expanded, copy and insert rows/columns as needed, to represent additional spaces.</t>
    </r>
  </si>
  <si>
    <t>Design CFM</t>
  </si>
  <si>
    <t>Total Airflow</t>
  </si>
  <si>
    <r>
      <rPr>
        <b/>
        <sz val="10"/>
        <rFont val="Arial"/>
        <family val="2"/>
      </rPr>
      <t xml:space="preserve">Using Tables: </t>
    </r>
    <r>
      <rPr>
        <sz val="10"/>
        <rFont val="Arial"/>
        <family val="2"/>
      </rPr>
      <t xml:space="preserve">Prior to the Proposed Design submittal, enter values in yellow cells. This section can be expanded; copy and insert rows as needed. CFM allowances will calculate automatically. Enter a description of your sampling plan and the total number of risers below the table.
Prior to the As-Built submittal, enter CFM Leakage results from Single Point tests into the orange cells. </t>
    </r>
    <r>
      <rPr>
        <sz val="10"/>
        <color rgb="FFFF0000"/>
        <rFont val="Arial"/>
        <family val="2"/>
      </rPr>
      <t xml:space="preserve">
</t>
    </r>
    <r>
      <rPr>
        <b/>
        <sz val="10"/>
        <rFont val="Arial"/>
        <family val="2"/>
      </rPr>
      <t xml:space="preserve">Printing: </t>
    </r>
    <r>
      <rPr>
        <sz val="10"/>
        <rFont val="Arial"/>
        <family val="2"/>
      </rPr>
      <t>Optimized for printing in Landscape view.</t>
    </r>
  </si>
  <si>
    <t>Central Exhaust Ventilation Duct Leakage Summary (Single-Point tests):</t>
  </si>
  <si>
    <r>
      <t>Central exhaust systems that serve four or more dwelling units tested for duct leakage, where the leakage at rough-in (e.g. including trunks, branches, and take-offs) does not exceed 25% of exhaust fan flow or 30% of exhaust fan flow at final (e.g. inclusive of all ductwork between the fan and the grilles).
Note: For the purpose of computing leakage allowance, exhaust fan flow shall be the lesser of the rated fan flow and at rough-in, 133% of the sum of the design exhaust airflow of the dwelling units that are exhausted by that central fan or at final, 143% of the sum of the design exhaust airflow of the dwelling units that are exhausted by that central fan. Duct leakage shall be tested at the design or average operating pressure and shall use the procedures in the RESNET Guidelines for Multifamily Energy Ratings, available at www.resnet.us/blog/resnet-adoptsguidelines-for-multifamily-energy-ratings/. Where testing at the design or average operating pressure is not feasible, testing at 50 Pa is permitted, however the following flow equation must be used to determine the leakage allowance at 50 Pa.
CFM</t>
    </r>
    <r>
      <rPr>
        <vertAlign val="subscript"/>
        <sz val="10"/>
        <rFont val="Arial"/>
        <family val="2"/>
      </rPr>
      <t>50</t>
    </r>
    <r>
      <rPr>
        <sz val="10"/>
        <rFont val="Arial"/>
        <family val="2"/>
      </rPr>
      <t xml:space="preserve"> = CFM</t>
    </r>
    <r>
      <rPr>
        <vertAlign val="subscript"/>
        <sz val="10"/>
        <rFont val="Arial"/>
        <family val="2"/>
      </rPr>
      <t>design</t>
    </r>
    <r>
      <rPr>
        <sz val="10"/>
        <rFont val="Arial"/>
        <family val="2"/>
      </rPr>
      <t xml:space="preserve"> / P</t>
    </r>
    <r>
      <rPr>
        <vertAlign val="subscript"/>
        <sz val="10"/>
        <rFont val="Arial"/>
        <family val="2"/>
      </rPr>
      <t>design</t>
    </r>
    <r>
      <rPr>
        <vertAlign val="superscript"/>
        <sz val="10"/>
        <rFont val="Arial"/>
        <family val="2"/>
      </rPr>
      <t>(0.65)</t>
    </r>
    <r>
      <rPr>
        <sz val="10"/>
        <rFont val="Arial"/>
        <family val="2"/>
      </rPr>
      <t xml:space="preserve"> / 50</t>
    </r>
    <r>
      <rPr>
        <vertAlign val="superscript"/>
        <sz val="10"/>
        <rFont val="Arial"/>
        <family val="2"/>
      </rPr>
      <t>(0.65)</t>
    </r>
  </si>
  <si>
    <t>Fan/Shaft ID</t>
  </si>
  <si>
    <t># of units/grilles</t>
  </si>
  <si>
    <t>Rate per unit/grille (CFM)</t>
  </si>
  <si>
    <t>Rated Fan Flow CFM</t>
  </si>
  <si>
    <t>CFM50</t>
  </si>
  <si>
    <t>Design/Operating Pressure</t>
  </si>
  <si>
    <t>Testing Pressure</t>
  </si>
  <si>
    <t>CFM Leakage from Single-Point Test</t>
  </si>
  <si>
    <t>Test at Final or Rough-in</t>
  </si>
  <si>
    <t>% Leakage of Design CFM</t>
  </si>
  <si>
    <t>Rough-in MAX CFM</t>
  </si>
  <si>
    <t>Final MAX CFM</t>
  </si>
  <si>
    <t>Total # of risers:</t>
  </si>
  <si>
    <r>
      <rPr>
        <b/>
        <sz val="10"/>
        <rFont val="Arial"/>
        <family val="2"/>
      </rPr>
      <t xml:space="preserve">Using Tables: </t>
    </r>
    <r>
      <rPr>
        <sz val="10"/>
        <rFont val="Arial"/>
        <family val="2"/>
      </rPr>
      <t>Providing data in orange cells on this tab prior to the Proposed Design submittal is optional, but recommended.
Prior to As-Built submittal, enter installed appliance details into all orange cells. If make and model numbers were entered at the Proposed Design submittal, mark any changes from the Proposed Design in 'Inspection Comments' (Column K).</t>
    </r>
    <r>
      <rPr>
        <sz val="10"/>
        <color rgb="FFFF0000"/>
        <rFont val="Arial"/>
        <family val="2"/>
      </rPr>
      <t xml:space="preserve">
</t>
    </r>
    <r>
      <rPr>
        <b/>
        <sz val="10"/>
        <rFont val="Arial"/>
        <family val="2"/>
      </rPr>
      <t xml:space="preserve">Printing: </t>
    </r>
    <r>
      <rPr>
        <sz val="10"/>
        <rFont val="Arial"/>
        <family val="2"/>
      </rPr>
      <t>Optimized for both views (Portrait/Landscape).</t>
    </r>
  </si>
  <si>
    <t>1. ASHRAE Path</t>
  </si>
  <si>
    <t>Provide photo of each unique appliance model number AND provide the Energy Guide label or other documentation that confirms energy use consistent with ASHRAE Path Calculator.</t>
  </si>
  <si>
    <t xml:space="preserve">2. Prescriptive Path </t>
  </si>
  <si>
    <t>Provide photo of each unique appliance model number AND either list MFR/model in table below OR submit evidence of listing in the ENERGY STAR Product Search at time of purchase.</t>
  </si>
  <si>
    <t>APPLIANCE</t>
  </si>
  <si>
    <t>LOCATION</t>
  </si>
  <si>
    <t>QUANTITY</t>
  </si>
  <si>
    <t>MFR</t>
  </si>
  <si>
    <t>MODEL #</t>
  </si>
  <si>
    <r>
      <t xml:space="preserve">ENERGY STAR
</t>
    </r>
    <r>
      <rPr>
        <b/>
        <sz val="8"/>
        <rFont val="Arial"/>
        <family val="2"/>
      </rPr>
      <t>(Yes/No)</t>
    </r>
  </si>
  <si>
    <r>
      <t xml:space="preserve">LOCATION
</t>
    </r>
    <r>
      <rPr>
        <b/>
        <sz val="8"/>
        <rFont val="Arial"/>
        <family val="2"/>
      </rPr>
      <t>(dwg/spec)</t>
    </r>
  </si>
  <si>
    <t>PLAN REVIEW</t>
  </si>
  <si>
    <t>INSPECTION?</t>
  </si>
  <si>
    <t xml:space="preserve">INSPECTION COMMENTS </t>
  </si>
  <si>
    <r>
      <rPr>
        <b/>
        <sz val="10"/>
        <rFont val="Arial"/>
        <family val="2"/>
      </rPr>
      <t xml:space="preserve">Using Tables: </t>
    </r>
    <r>
      <rPr>
        <sz val="10"/>
        <rFont val="Arial"/>
        <family val="2"/>
      </rPr>
      <t>Providing data in yellow cells on this tab prior to the Proposed Design submittal is optional, but recommended. 
Prior to As-Built submittal, complete all yellow cells based on installed fenestration. If Prescriptive Path or utilizing weighted average for U-factor compliance, complete Qty &amp; Area for each window.</t>
    </r>
    <r>
      <rPr>
        <sz val="10"/>
        <color rgb="FFFF0000"/>
        <rFont val="Arial"/>
        <family val="2"/>
      </rPr>
      <t xml:space="preserve">
</t>
    </r>
    <r>
      <rPr>
        <b/>
        <sz val="10"/>
        <rFont val="Arial"/>
        <family val="2"/>
      </rPr>
      <t xml:space="preserve">Printing: </t>
    </r>
    <r>
      <rPr>
        <sz val="10"/>
        <rFont val="Arial"/>
        <family val="2"/>
      </rPr>
      <t>Optimized for Landscape view.</t>
    </r>
  </si>
  <si>
    <t>Fenestration Verification</t>
  </si>
  <si>
    <t>Select ENERGY STAR:</t>
  </si>
  <si>
    <t>Pathway</t>
  </si>
  <si>
    <t>Prescriptive Path only</t>
  </si>
  <si>
    <t>Total UA Meets ENERGY STAR Requirements?</t>
  </si>
  <si>
    <t>Climate Zone</t>
  </si>
  <si>
    <t>Wall Area</t>
  </si>
  <si>
    <t>Window Area</t>
  </si>
  <si>
    <t>Window-to-Wall Ratio</t>
  </si>
  <si>
    <t>Version</t>
  </si>
  <si>
    <t>Windows - Dwelling Units</t>
  </si>
  <si>
    <t>hide</t>
  </si>
  <si>
    <t>ID</t>
  </si>
  <si>
    <t>WINDOW TYPE</t>
  </si>
  <si>
    <r>
      <t xml:space="preserve">Fixed or Operable?
</t>
    </r>
    <r>
      <rPr>
        <b/>
        <sz val="8"/>
        <rFont val="Arial"/>
        <family val="2"/>
      </rPr>
      <t>(Prescriptive &amp; Class AW Only)</t>
    </r>
  </si>
  <si>
    <t>Qty</t>
  </si>
  <si>
    <t>Area</t>
  </si>
  <si>
    <t>Total Area</t>
  </si>
  <si>
    <r>
      <t xml:space="preserve">Window Frame
</t>
    </r>
    <r>
      <rPr>
        <b/>
        <sz val="8"/>
        <rFont val="Arial"/>
        <family val="2"/>
      </rPr>
      <t>(ERI/ASHRAE &amp; Class AW only)</t>
    </r>
  </si>
  <si>
    <t>ENERGY STAR Requirement
U-FACTOR</t>
  </si>
  <si>
    <t>ENERGY STAR Requirement UA</t>
  </si>
  <si>
    <t>ENERGY STAR Requirement
SHGC</t>
  </si>
  <si>
    <t>WindowFrame_UIndex</t>
  </si>
  <si>
    <t>WindowFrame_SHGCIndex</t>
  </si>
  <si>
    <t>CZ_Index</t>
  </si>
  <si>
    <r>
      <t xml:space="preserve">PROJECTION FACTOR (PF)
</t>
    </r>
    <r>
      <rPr>
        <b/>
        <sz val="8"/>
        <rFont val="Arial"/>
        <family val="2"/>
      </rPr>
      <t>(ERI/ASHRAE &amp; Class AW only)</t>
    </r>
  </si>
  <si>
    <t>ASSEMBLY
U-FACTOR</t>
  </si>
  <si>
    <t>Total UA</t>
  </si>
  <si>
    <t xml:space="preserve">SHGC </t>
  </si>
  <si>
    <t>INSPECTION COMMENTS</t>
  </si>
  <si>
    <t>Weighted U-factor:</t>
  </si>
  <si>
    <t>Windows - Common Spaces</t>
  </si>
  <si>
    <r>
      <t xml:space="preserve">WINDOW TYPE
</t>
    </r>
    <r>
      <rPr>
        <b/>
        <sz val="8"/>
        <rFont val="Arial"/>
        <family val="2"/>
      </rPr>
      <t>(optional)</t>
    </r>
  </si>
  <si>
    <r>
      <t xml:space="preserve">Fixed or Operable?
</t>
    </r>
    <r>
      <rPr>
        <b/>
        <sz val="8"/>
        <rFont val="Arial"/>
        <family val="2"/>
      </rPr>
      <t>(ERI &amp; Prescriptive Only)</t>
    </r>
  </si>
  <si>
    <r>
      <t xml:space="preserve">Window Frame
</t>
    </r>
    <r>
      <rPr>
        <b/>
        <sz val="8"/>
        <rFont val="Arial"/>
        <family val="2"/>
      </rPr>
      <t>(ASHRAE only)</t>
    </r>
  </si>
  <si>
    <r>
      <t xml:space="preserve">PROJECTION FACTOR (PF)
</t>
    </r>
    <r>
      <rPr>
        <b/>
        <sz val="8"/>
        <rFont val="Arial"/>
        <family val="2"/>
      </rPr>
      <t>(ASHRAE only)</t>
    </r>
  </si>
  <si>
    <t>All Exterior Doors (Opaque, Glazed, Partially Glazed)</t>
  </si>
  <si>
    <t>Door Type</t>
  </si>
  <si>
    <t>Dwelling/ Common?</t>
  </si>
  <si>
    <r>
      <t xml:space="preserve">Space Served
</t>
    </r>
    <r>
      <rPr>
        <b/>
        <sz val="8"/>
        <rFont val="Arial"/>
        <family val="2"/>
      </rPr>
      <t>(optional)</t>
    </r>
  </si>
  <si>
    <t>Door Type_Uindex</t>
  </si>
  <si>
    <t>Door Type_SHGCIndex</t>
  </si>
  <si>
    <r>
      <rPr>
        <b/>
        <sz val="10"/>
        <color theme="1"/>
        <rFont val="Arial"/>
        <family val="2"/>
      </rPr>
      <t>Footnote 5.</t>
    </r>
    <r>
      <rPr>
        <sz val="10"/>
        <color theme="1"/>
        <rFont val="Arial"/>
        <family val="2"/>
      </rPr>
      <t xml:space="preserve"> All windows, doors and skylights must meet or exceed the U-factor and SHGC requirements specified in the table below. If no NFRC rating is noted on the window or in product literature (e.g., for site-built fenestration), select the U-factor and SHGC value from Tables 4 and 10, respectively, in 2013 ASHRAE Handbook of Fundamentals, Chapter 15. Select the highest U-factor and SHGC value among the values listed for the known window characteristics (e.g., frame type, number of panes, glass color, and presence of low-e coating). Note that the U-factor requirement applies to all fenestration while the SHGC only applies to the glazed portion.</t>
    </r>
  </si>
  <si>
    <t>Dwelling unit doors and windows that are not classified “Class AW”*</t>
  </si>
  <si>
    <t>Dwelling unit windows and doors that are classified as “Class AW”*</t>
  </si>
  <si>
    <r>
      <t>Common Space</t>
    </r>
    <r>
      <rPr>
        <b/>
        <vertAlign val="superscript"/>
        <sz val="10"/>
        <color rgb="FF000000"/>
        <rFont val="Arial"/>
        <family val="2"/>
      </rPr>
      <t>†</t>
    </r>
  </si>
  <si>
    <t>2009 IECC Table 402.1.1</t>
  </si>
  <si>
    <t>2009 IECC Table 502.3</t>
  </si>
  <si>
    <t>ENERGY STAR MF Reference Design – for Class AW</t>
  </si>
  <si>
    <t>ENERGY STAR MF Reference Design</t>
  </si>
  <si>
    <t>* Classified as “Class AW” under the North American Fenestration Standard (AAMA / WDMA / CSA 101 / I.S.2 / A440).</t>
  </si>
  <si>
    <r>
      <t>†</t>
    </r>
    <r>
      <rPr>
        <sz val="10"/>
        <color rgb="FF000000"/>
        <rFont val="Arial"/>
        <family val="2"/>
      </rPr>
      <t xml:space="preserve"> Opaque doors in common spaces in CZ1-6 shall not exceed U-0.70, and in CZ 7-8, shall not exceed U-0.5.</t>
    </r>
  </si>
  <si>
    <t>The following exemptions apply:</t>
  </si>
  <si>
    <t>           i.        An area-weighted average of fenestration products shall be permitted to satisfy the U-factor requirements;</t>
  </si>
  <si>
    <t>          ii.        An area-weighted average of fenestration products ≥ 50% glazed shall be permitted to satisfy the SHGC requirements; and</t>
  </si>
  <si>
    <t xml:space="preserve">         iii.        5% of all combined fenestration area (glazed and opaque) shall be exempt from the U-factor and SHGC requirements, and shall be excluded from area-weighted averages calculated using i) and ii), above. </t>
  </si>
  <si>
    <t>In PHIUS+ or PHI certified buildings, where triple-glazed window assemblies with thermal breaks / spacers between the panes are used, such windows meet the intent of Items 2.1 and 2.2 and shall be excluded when assessing compliance of i) through iii), above.</t>
  </si>
  <si>
    <r>
      <rPr>
        <b/>
        <sz val="10"/>
        <rFont val="Arial"/>
        <family val="2"/>
      </rPr>
      <t xml:space="preserve">Using Tables: </t>
    </r>
    <r>
      <rPr>
        <sz val="10"/>
        <rFont val="Arial"/>
        <family val="2"/>
      </rPr>
      <t xml:space="preserve">Providing data in yellow cells on this tab prior to the Proposed Design submittal is optional, but recommended. 
Prior to As-Built submittal, where heated plenum or heated garages are present, list the installed R-value, if not clearly shown in photo documentation. 
</t>
    </r>
    <r>
      <rPr>
        <b/>
        <sz val="10"/>
        <rFont val="Arial"/>
        <family val="2"/>
      </rPr>
      <t xml:space="preserve">Exception: </t>
    </r>
    <r>
      <rPr>
        <sz val="10"/>
        <rFont val="Arial"/>
        <family val="2"/>
      </rPr>
      <t>Per Rater Field Checklist, footnote 9, compliance with Items 1.5 and 1.6 is not required for ASHRAE projects, but the energy used by the heating systems must be modeled following the requirements in the Simulation Guidelines, available at www.energystar.gov/mfnc.</t>
    </r>
    <r>
      <rPr>
        <sz val="10"/>
        <color rgb="FFFF0000"/>
        <rFont val="Arial"/>
        <family val="2"/>
      </rPr>
      <t xml:space="preserve">
</t>
    </r>
    <r>
      <rPr>
        <b/>
        <sz val="10"/>
        <rFont val="Arial"/>
        <family val="2"/>
      </rPr>
      <t xml:space="preserve">Printing: </t>
    </r>
    <r>
      <rPr>
        <sz val="10"/>
        <rFont val="Arial"/>
        <family val="2"/>
      </rPr>
      <t>Optimized for Portait view.</t>
    </r>
  </si>
  <si>
    <t>Select ENERGY STAR Version</t>
  </si>
  <si>
    <t>Select ENERGY STAR Climate Zone</t>
  </si>
  <si>
    <t>&lt;&lt; CZ Reference Table Index</t>
  </si>
  <si>
    <t>&lt;&lt; Mass Floors Index in the IECC2009_O_Floors Table</t>
  </si>
  <si>
    <t>Heated Plenum Insulation Verification</t>
  </si>
  <si>
    <t>ENERGY STAR Requirement</t>
  </si>
  <si>
    <t>Specified/Installed R-value</t>
  </si>
  <si>
    <t>Plenum Wall Insulation</t>
  </si>
  <si>
    <t>Top of Plenum Insulation</t>
  </si>
  <si>
    <t>Bottom of Plenum Insulation</t>
  </si>
  <si>
    <t>Heated Garage Insulation Verification</t>
  </si>
  <si>
    <t>Garage Above Grade or First Floor Below Grade Wall Insulation</t>
  </si>
  <si>
    <t>Garage Ceiling Insulation</t>
  </si>
  <si>
    <r>
      <rPr>
        <b/>
        <sz val="10"/>
        <rFont val="Arial"/>
        <family val="2"/>
      </rPr>
      <t xml:space="preserve">Using Tables: </t>
    </r>
    <r>
      <rPr>
        <sz val="10"/>
        <rFont val="Arial"/>
        <family val="2"/>
      </rPr>
      <t xml:space="preserve">Providing data in orange cells on this tab prior to the Proposed Design submittal is optional, but recommended. 
Prior to As-Built submittal, complete all orange cells. See below for specific instructions on using the Domestic Hot Water System Verification and the Low-Flow Fixture Verification tables. If make and model numbers were entered at the Proposed Design submittal, mark any changes from the Proposed Design in 'Inspection Comments' (Column M).
</t>
    </r>
    <r>
      <rPr>
        <sz val="10"/>
        <color rgb="FFFF0000"/>
        <rFont val="Arial"/>
        <family val="2"/>
      </rPr>
      <t xml:space="preserve">
</t>
    </r>
    <r>
      <rPr>
        <b/>
        <sz val="10"/>
        <rFont val="Arial"/>
        <family val="2"/>
      </rPr>
      <t xml:space="preserve">Printing: </t>
    </r>
    <r>
      <rPr>
        <sz val="10"/>
        <rFont val="Arial"/>
        <family val="2"/>
      </rPr>
      <t>Optimized for printing in Landscape view.</t>
    </r>
  </si>
  <si>
    <t>Domestic Hot Water / Service Hot Water System Verification</t>
  </si>
  <si>
    <t>Complete entire table OR complete columns B, C, D and provide AHRI Certificate for each DHW/SHW system.</t>
  </si>
  <si>
    <t xml:space="preserve">ID -DHW/SHW System </t>
  </si>
  <si>
    <t>DESCRIPTION</t>
  </si>
  <si>
    <t>AHRI CERT #</t>
  </si>
  <si>
    <t>Low-Flow Fixture Verification</t>
  </si>
  <si>
    <r>
      <rPr>
        <b/>
        <sz val="10"/>
        <rFont val="Arial"/>
        <family val="2"/>
      </rPr>
      <t xml:space="preserve">Prescriptive Path: </t>
    </r>
    <r>
      <rPr>
        <sz val="10"/>
        <rFont val="Arial"/>
        <family val="2"/>
      </rPr>
      <t xml:space="preserve">Complete table and provide cut sheet/WaterSense documentation for each bath faucet, aerator, and showerhead.
</t>
    </r>
    <r>
      <rPr>
        <b/>
        <sz val="10"/>
        <rFont val="Arial"/>
        <family val="2"/>
      </rPr>
      <t>ASHRAE Path:</t>
    </r>
    <r>
      <rPr>
        <sz val="10"/>
        <rFont val="Arial"/>
        <family val="2"/>
      </rPr>
      <t xml:space="preserve"> (if taking credit for low-flow fixture) Complete table and provide cut sheet/WaterSense documentation for each faucet and showerhead, where credit is taken, that clearly identifies flow rate.</t>
    </r>
  </si>
  <si>
    <t>For shower compartments with multiple fixtures:</t>
  </si>
  <si>
    <t>Operated simultaneously (Y/N)?</t>
  </si>
  <si>
    <t>ASHRAE PATH ONLY</t>
  </si>
  <si>
    <t>PRESCRIPTIVE PATH ONLY</t>
  </si>
  <si>
    <t>ID - Low-Flow Fixtures</t>
  </si>
  <si>
    <t>Quantity</t>
  </si>
  <si>
    <t>GPM</t>
  </si>
  <si>
    <t>WaterSense?</t>
  </si>
  <si>
    <r>
      <rPr>
        <b/>
        <sz val="10"/>
        <rFont val="Arial"/>
        <family val="2"/>
      </rPr>
      <t xml:space="preserve">Using Tables: </t>
    </r>
    <r>
      <rPr>
        <sz val="10"/>
        <rFont val="Arial"/>
        <family val="2"/>
      </rPr>
      <t>Providing data in orange cells on this tab prior to the Proposed Design submittal is optional, but recommended. 
Prior to As-Built submittal, complete all orange cells. See below for specific instructions on using the Heating &amp; Cooling System Verification and the Circulating Pump Motor Verification (non-DHW/SHW) tables. If make and model numbers were entered at the Proposed Design submittal, mark any changes from the Proposed Design in 'Inspection Comments' (Column M).</t>
    </r>
    <r>
      <rPr>
        <sz val="10"/>
        <color rgb="FFFF0000"/>
        <rFont val="Arial"/>
        <family val="2"/>
      </rPr>
      <t xml:space="preserve">
</t>
    </r>
    <r>
      <rPr>
        <b/>
        <sz val="10"/>
        <rFont val="Arial"/>
        <family val="2"/>
      </rPr>
      <t xml:space="preserve">Printing: </t>
    </r>
    <r>
      <rPr>
        <sz val="10"/>
        <rFont val="Arial"/>
        <family val="2"/>
      </rPr>
      <t>Optimized for printing in Landscape view.</t>
    </r>
  </si>
  <si>
    <t>Heating &amp; Cooling System Verification</t>
  </si>
  <si>
    <t>Complete table OR provide schedule with AHRI certificate for each system in schedule.</t>
  </si>
  <si>
    <t>HEATING/ COOLING</t>
  </si>
  <si>
    <t>LOCATION/ SERVES</t>
  </si>
  <si>
    <t>AHRI CERT#</t>
  </si>
  <si>
    <t>Circulating Pump Motor Verification (non-DHW/SHW)</t>
  </si>
  <si>
    <t>Record manufacturer and model number of 3-phase pump motors over 1 HP, to confirm NEMA. If over 5 HP, confirm presence of VFD and provide photo of VFD.</t>
  </si>
  <si>
    <t>HORSE
POWER (HP)</t>
  </si>
  <si>
    <t>NEMA PREMIUM?</t>
  </si>
  <si>
    <t>VFD?</t>
  </si>
  <si>
    <r>
      <rPr>
        <b/>
        <sz val="10"/>
        <rFont val="Arial"/>
        <family val="2"/>
      </rPr>
      <t xml:space="preserve">Using Tables: </t>
    </r>
    <r>
      <rPr>
        <sz val="10"/>
        <rFont val="Arial"/>
        <family val="2"/>
      </rPr>
      <t xml:space="preserve">Providing data in orange cells on this tab prior to the Proposed Design submittal is optional, but recommended. 
Prior to As-Built submittal, use the As-Built lighting schedule and floor plans to complete all orange cells. Pass/Fail values will calculate automatically. </t>
    </r>
    <r>
      <rPr>
        <sz val="10"/>
        <color rgb="FFFF0000"/>
        <rFont val="Arial"/>
        <family val="2"/>
      </rPr>
      <t xml:space="preserve">
</t>
    </r>
    <r>
      <rPr>
        <b/>
        <sz val="10"/>
        <rFont val="Arial"/>
        <family val="2"/>
      </rPr>
      <t xml:space="preserve">Printing: </t>
    </r>
    <r>
      <rPr>
        <sz val="10"/>
        <rFont val="Arial"/>
        <family val="2"/>
      </rPr>
      <t>Optimized for printing in Portrait view.</t>
    </r>
  </si>
  <si>
    <t>Lighting Verification (Lighting Power Density Calculation and 90% Efficient Fixtures)</t>
  </si>
  <si>
    <r>
      <rPr>
        <b/>
        <sz val="10"/>
        <color theme="1"/>
        <rFont val="Arial"/>
        <family val="2"/>
      </rPr>
      <t>Qualifying Tier I Light Fixture</t>
    </r>
    <r>
      <rPr>
        <sz val="10"/>
        <color theme="1"/>
        <rFont val="Arial"/>
        <family val="2"/>
      </rPr>
      <t xml:space="preserve"> – A light fixture located in a Qualifying Light Fixture Location that contains fluorescent lamps.
</t>
    </r>
    <r>
      <rPr>
        <b/>
        <sz val="10"/>
        <color theme="1"/>
        <rFont val="Arial"/>
        <family val="2"/>
      </rPr>
      <t>Qualifying Tier II Light Fixture</t>
    </r>
    <r>
      <rPr>
        <sz val="10"/>
        <color theme="1"/>
        <rFont val="Arial"/>
        <family val="2"/>
      </rPr>
      <t xml:space="preserve"> – A light fixture located in a Qualifying Light Fixture Location that contains LED lamps; an integrated LED fixture; an outdoor light fixture that is controlled by a photocell; or an indoor fixture controlled by a motion sensor.</t>
    </r>
  </si>
  <si>
    <t>Dwelling Unit
(Prescriptive Path only; ASHRAE Path can enter into APC)</t>
  </si>
  <si>
    <t>Count All Fixtures</t>
  </si>
  <si>
    <t>Fixture Label</t>
  </si>
  <si>
    <t>H</t>
  </si>
  <si>
    <t>I</t>
  </si>
  <si>
    <t>J</t>
  </si>
  <si>
    <t>K</t>
  </si>
  <si>
    <t>L</t>
  </si>
  <si>
    <t>M</t>
  </si>
  <si>
    <t>N</t>
  </si>
  <si>
    <t>O</t>
  </si>
  <si>
    <t>P</t>
  </si>
  <si>
    <t>Q</t>
  </si>
  <si>
    <t>R</t>
  </si>
  <si>
    <t>S</t>
  </si>
  <si>
    <t>T</t>
  </si>
  <si>
    <t>U</t>
  </si>
  <si>
    <t>V</t>
  </si>
  <si>
    <t>W</t>
  </si>
  <si>
    <t>Y</t>
  </si>
  <si>
    <t>Z</t>
  </si>
  <si>
    <t>Are 90% Tier I/II or ES?</t>
  </si>
  <si>
    <t>Fixture Watts</t>
  </si>
  <si>
    <t>Prescriptive Only: &lt; 0.75?</t>
  </si>
  <si>
    <t>Efficacy</t>
  </si>
  <si>
    <t>Multiplier</t>
  </si>
  <si>
    <t>Unit Plan</t>
  </si>
  <si>
    <t>Room Type</t>
  </si>
  <si>
    <t>Lit Area (SF)</t>
  </si>
  <si>
    <t>Unlit Area (SF)</t>
  </si>
  <si>
    <t>Watts/SF</t>
  </si>
  <si>
    <t>Total Fixtures</t>
  </si>
  <si>
    <t>TierI/TierII/ES Fixtures</t>
  </si>
  <si>
    <t>Watts (Lit Area) 3x</t>
  </si>
  <si>
    <t>Warning?</t>
  </si>
  <si>
    <t>TOTALS</t>
  </si>
  <si>
    <t>Common Space
(Prescriptive and ERI Path only; ASHRAE Path can enter into APC)</t>
  </si>
  <si>
    <t>Is it less than 90.1-2007?</t>
  </si>
  <si>
    <t>ES</t>
  </si>
  <si>
    <t>Tier II</t>
  </si>
  <si>
    <t>Are you using Space-by-Space Method or Building Area Method?</t>
  </si>
  <si>
    <t>delete column</t>
  </si>
  <si>
    <t>Space</t>
  </si>
  <si>
    <t>ASHRAE Space Type</t>
  </si>
  <si>
    <t>Automatic Controls?</t>
  </si>
  <si>
    <t>ASHRAE LPD (W/SF)</t>
  </si>
  <si>
    <t>Tier1/ES Fixtures</t>
  </si>
  <si>
    <t>Lit Area * Multiplier</t>
  </si>
  <si>
    <t>ASHRAE W</t>
  </si>
  <si>
    <t>Installed Watts</t>
  </si>
  <si>
    <t>30%ASHRAE calc</t>
  </si>
  <si>
    <t>ASHRAE LPD P/F</t>
  </si>
  <si>
    <t>Common Space Garage
(Prescriptive and ERI Path only; ASHRAE Path can enter into APC)</t>
  </si>
  <si>
    <t>Less than 0.24 W/sf?</t>
  </si>
  <si>
    <t>MFNC LPD (W/SF)</t>
  </si>
  <si>
    <t>Garage</t>
  </si>
  <si>
    <t>Exterior Lighting Fixtures
(Prescriptive and ERI Path only; ASHRAE Path can enter into APC)</t>
  </si>
  <si>
    <r>
      <rPr>
        <b/>
        <sz val="10"/>
        <rFont val="Arial"/>
        <family val="2"/>
      </rPr>
      <t xml:space="preserve">Using Tables: </t>
    </r>
    <r>
      <rPr>
        <sz val="10"/>
        <rFont val="Arial"/>
        <family val="2"/>
      </rPr>
      <t>Providing data in orange cells on this tab prior to the Proposed Design submittal is optional, but recommended. 
Prior to As-Built submittal, complete all orange cells. See specific instructions below for completing the "In-Unit Dwelling Unit Ventilation and Local Exhaust Fans" and the "Central/Shared Dwelling Unit Ventilation and Local Exhaust Fans" tables. If make and model numbers were entered at the Proposed Design submittal, mark any changes from the Proposed Design in 'Inspection Comments' (Column O).</t>
    </r>
    <r>
      <rPr>
        <sz val="10"/>
        <color rgb="FFFF0000"/>
        <rFont val="Arial"/>
        <family val="2"/>
      </rPr>
      <t xml:space="preserve">
</t>
    </r>
    <r>
      <rPr>
        <b/>
        <sz val="10"/>
        <rFont val="Arial"/>
        <family val="2"/>
      </rPr>
      <t xml:space="preserve">Printing: </t>
    </r>
    <r>
      <rPr>
        <sz val="10"/>
        <rFont val="Arial"/>
        <family val="2"/>
      </rPr>
      <t>Optimized for printing in Landscape view.</t>
    </r>
  </si>
  <si>
    <t>In-Unit Dwelling Unit Ventilation and Local Exhaust Fans</t>
  </si>
  <si>
    <t>Complete table. In lieu of entering MFR/model, provide photo with model number, that lists ID in the file name of the photo, AND where applicable, submit evidence of listing in the ENERGY STAR Product Search at time of purchase.
Note: In-unit bathroom fans or in-line fans are ENERGY STAR certified if used as part of the dwelling-unit mechanical ventilation system.</t>
  </si>
  <si>
    <r>
      <t xml:space="preserve">DESCRIPTION
</t>
    </r>
    <r>
      <rPr>
        <b/>
        <sz val="8"/>
        <rFont val="Arial"/>
        <family val="2"/>
      </rPr>
      <t>(bath exhaust, range hood, inline fan, balanced, other)</t>
    </r>
  </si>
  <si>
    <t>PURPOSE</t>
  </si>
  <si>
    <t>CONTINUOUS/ INTERMITTENT</t>
  </si>
  <si>
    <t>Sones (7.5, 8.2)</t>
  </si>
  <si>
    <t>ENERGY STAR?</t>
  </si>
  <si>
    <r>
      <t xml:space="preserve">LOCATION
</t>
    </r>
    <r>
      <rPr>
        <b/>
        <sz val="8"/>
        <rFont val="Arial"/>
        <family val="2"/>
      </rPr>
      <t>(dwg / spec)</t>
    </r>
  </si>
  <si>
    <t>INSPECTION</t>
  </si>
  <si>
    <r>
      <t xml:space="preserve">INSPECTION COMMENTS 
</t>
    </r>
    <r>
      <rPr>
        <b/>
        <sz val="8"/>
        <rFont val="Arial"/>
        <family val="2"/>
      </rPr>
      <t>(Problems, sample details/apt #s, etc.)</t>
    </r>
  </si>
  <si>
    <t>Central/Shared Dwelling Unit Ventilation and Local Exhaust Fans</t>
  </si>
  <si>
    <t>Complete table or provide cut sheet with photo of fan nameplate that clearly identifies features meet requirements.
Note: If central exhaust fans, ≤ 1 HP, are specified as part of the dwelling-unit mechanical ventilation system, then they are direct-drive, ECM, with variable speed controllers. If greater than 1 HP, they are specified with NEMA Premium Motors.</t>
  </si>
  <si>
    <t>Greater than 1 HP?</t>
  </si>
  <si>
    <t>ECM?</t>
  </si>
  <si>
    <t>DIRECT-DRIVE?</t>
  </si>
  <si>
    <t>VARIABLE SPEED CONTROLLERS</t>
  </si>
  <si>
    <t>This tab contains tables related to the ENERGY STAR Multifamily New Construction Program</t>
  </si>
  <si>
    <t>TableRaterDF4</t>
  </si>
  <si>
    <t>TableRaterDF11</t>
  </si>
  <si>
    <t>ESRefDesign_Insulation_V1</t>
  </si>
  <si>
    <t>ESRefDesign_Insulation_V11</t>
  </si>
  <si>
    <t>ESRefDesign_Insulation_V12</t>
  </si>
  <si>
    <t>ESRefDesign_Fenestration_V1</t>
  </si>
  <si>
    <t>ESRefDesign_Fenestration_V11</t>
  </si>
  <si>
    <t>ESRefDesign_Fenestration_V12</t>
  </si>
  <si>
    <t>ENERGY STAR Multifamily New Construction Rater Design Review Checklist - Footnote 4</t>
  </si>
  <si>
    <t>ENERGY STAR Multifamily New Construction Rater Design Review Checklist - Footnote 11</t>
  </si>
  <si>
    <t>ENERGY STAR Multifamily New Construction Reference Design, Version 1
Insulation Levels modeled to 2009 IECC levels (Commercial, wood frame) and Grade I installation per ANSI / RESNET / ICC Standard</t>
  </si>
  <si>
    <t>ENERGY STAR Multifamily New Construction Reference Design, Version 1.1
Insulation Levels modeled to 2012 IECC levels (Commercial, wood frame) and Grade I installation per ANSI / RESNET / ICC Standard</t>
  </si>
  <si>
    <t>ENERGY STAR Multifamily New Construction Reference Design, Version 1.2
Insulation Levels modeled at the levels below and Grade I installation per ANSI / RESNET / ICC Standard</t>
  </si>
  <si>
    <t>ENERGY STAR Multifamily New Construction Reference Design, Version 1
Dwelling Unit Windows
Infiltration rates modeled as follows: &lt;0.30 CFM50/ft2 of enclosure. Windows and doors modeled, as illustrated below:</t>
  </si>
  <si>
    <t>ENERGY STAR Multifamily New Construction Reference Design, Version 1.1
Dwelling Unit Windows
Infiltration rates modeled as follows: &lt;0.30 CFM50/ft2 of enclosure. Windows and doors modeled, as illustrated below:</t>
  </si>
  <si>
    <t>ENERGY STAR Multifamily New Construction Reference Design, Version 1.2
Dwelling Unit Windows
Infiltration rates modeled as follows: &lt;0.30 CFM50/ft2 of enclosure. Windows and doors modeled, as illustrated below:</t>
  </si>
  <si>
    <t>Common Space†</t>
  </si>
  <si>
    <t>Number of Bedrooms</t>
  </si>
  <si>
    <t>CZ 1</t>
  </si>
  <si>
    <t>CZ 2</t>
  </si>
  <si>
    <t>CZ 3</t>
  </si>
  <si>
    <t>CZ 4</t>
  </si>
  <si>
    <t>CZ 4 C</t>
  </si>
  <si>
    <t>CZ 5</t>
  </si>
  <si>
    <t>CZ 6</t>
  </si>
  <si>
    <t>CZ 7</t>
  </si>
  <si>
    <t>CZ 8</t>
  </si>
  <si>
    <t>Insulation Level</t>
  </si>
  <si>
    <t>Floor area</t>
  </si>
  <si>
    <t>1</t>
  </si>
  <si>
    <t>2</t>
  </si>
  <si>
    <t>3</t>
  </si>
  <si>
    <t>4</t>
  </si>
  <si>
    <t>5</t>
  </si>
  <si>
    <t>Slab Insulation R-Value:</t>
  </si>
  <si>
    <t>NR</t>
  </si>
  <si>
    <t>R-10</t>
  </si>
  <si>
    <t>R-15</t>
  </si>
  <si>
    <t>R-20</t>
  </si>
  <si>
    <t>Above-Grade Wall</t>
  </si>
  <si>
    <t>R-21</t>
  </si>
  <si>
    <t xml:space="preserve">Window U-Factor: </t>
  </si>
  <si>
    <t>&lt;500</t>
  </si>
  <si>
    <t>Slab Insulation Depth (ft):</t>
  </si>
  <si>
    <t>Ceiling</t>
  </si>
  <si>
    <t>R-49</t>
  </si>
  <si>
    <t>Window SHGC:</t>
  </si>
  <si>
    <t>Any</t>
  </si>
  <si>
    <t>501-1000</t>
  </si>
  <si>
    <t>Basement Wall Continuous Insulation R-Value:</t>
  </si>
  <si>
    <t>Floor</t>
  </si>
  <si>
    <t>R-38</t>
  </si>
  <si>
    <t>Opaque Door U-Factor</t>
  </si>
  <si>
    <t>1001-1500</t>
  </si>
  <si>
    <t>Floor Assembly U-Factor:</t>
  </si>
  <si>
    <t>Basement Wall</t>
  </si>
  <si>
    <t>R-15 continuous or R-21 cavity</t>
  </si>
  <si>
    <t>≤½ lite Door U-Factor</t>
  </si>
  <si>
    <t>† Opaque doors in common spaces in CZ1-6 shall not exceed U-0.70, and in CZ 7-8, shall not exceed U-0.5.</t>
  </si>
  <si>
    <t>1501-2000</t>
  </si>
  <si>
    <t>Wall Assembly U-Factor:</t>
  </si>
  <si>
    <t>On-Grade &amp; Below Grade Slab</t>
  </si>
  <si>
    <t>R-10 at perimeter for entire depth of slab and under entire slab area</t>
  </si>
  <si>
    <t>&gt;½ lite Door U-Factor:</t>
  </si>
  <si>
    <t>2001-2500</t>
  </si>
  <si>
    <t>Ceiling Assembly U-Factor:</t>
  </si>
  <si>
    <t>Opaque Door SHGC</t>
  </si>
  <si>
    <t>TableRaterFF68</t>
  </si>
  <si>
    <t>2501-3000</t>
  </si>
  <si>
    <t>≤½ lite Door SHGC</t>
  </si>
  <si>
    <t>ENERGY STAR Multifamily New Construction Rater Field Checklist - Footnote 68</t>
  </si>
  <si>
    <t>3001-3500</t>
  </si>
  <si>
    <t>&gt;½ lite Door SHGC</t>
  </si>
  <si>
    <t xml:space="preserve">ASHRAE Space Type </t>
  </si>
  <si>
    <t>Lighting Power Densities (W/ft2)</t>
  </si>
  <si>
    <t>3501-4000</t>
  </si>
  <si>
    <t>IECC2009_R_Roofs</t>
  </si>
  <si>
    <t>IECC2012_R_Roofs</t>
  </si>
  <si>
    <t>IECC2009_RU_Roof</t>
  </si>
  <si>
    <t>IECC2009_OU_Roof</t>
  </si>
  <si>
    <t>IECC2012_OU_Roof</t>
  </si>
  <si>
    <t>Lobby / Elevator</t>
  </si>
  <si>
    <t>4001-4500</t>
  </si>
  <si>
    <r>
      <t xml:space="preserve">2009 IECC Table 502.2(1) - Building Envelope Requirements - Opaque Assemblies - Group R - </t>
    </r>
    <r>
      <rPr>
        <b/>
        <u/>
        <sz val="12"/>
        <color theme="1"/>
        <rFont val="Calibri"/>
        <family val="2"/>
        <scheme val="minor"/>
      </rPr>
      <t>Roofs</t>
    </r>
  </si>
  <si>
    <r>
      <t xml:space="preserve">2012 IECC Table C402.2 - Building Envelope Requirements - Opaque Assemblies - Group R - </t>
    </r>
    <r>
      <rPr>
        <b/>
        <u/>
        <sz val="12"/>
        <color theme="1"/>
        <rFont val="Calibri"/>
        <family val="2"/>
        <scheme val="minor"/>
      </rPr>
      <t>Roofs</t>
    </r>
  </si>
  <si>
    <t>ESRefDesign_FenestrationAW_V1</t>
  </si>
  <si>
    <t>ESRefDesign_FenestrationAW_V11</t>
  </si>
  <si>
    <r>
      <t xml:space="preserve">2009 IECC Table 502.1.2 - Building Envelope Requirements - Opaque Element - Maximum U-Factors - Group R - </t>
    </r>
    <r>
      <rPr>
        <b/>
        <u/>
        <sz val="12"/>
        <color theme="1"/>
        <rFont val="Calibri"/>
        <family val="2"/>
        <scheme val="minor"/>
      </rPr>
      <t>Roofs</t>
    </r>
  </si>
  <si>
    <r>
      <t xml:space="preserve">2009 IECC Table 502.1.2 - Building Envelope Requirements - Opaque Element - Maximum U-Factors - All Other - </t>
    </r>
    <r>
      <rPr>
        <b/>
        <u/>
        <sz val="12"/>
        <color theme="1"/>
        <rFont val="Calibri"/>
        <family val="2"/>
        <scheme val="minor"/>
      </rPr>
      <t>Roofs</t>
    </r>
  </si>
  <si>
    <r>
      <t xml:space="preserve">2012 IECC Table C402.1.2 - Building Envelope Requirements - Opaque Element - Maximum U-Factors - All Other - </t>
    </r>
    <r>
      <rPr>
        <b/>
        <u/>
        <sz val="12"/>
        <color theme="1"/>
        <rFont val="Calibri"/>
        <family val="2"/>
        <scheme val="minor"/>
      </rPr>
      <t>Roofs</t>
    </r>
  </si>
  <si>
    <t>Active Storage (e.g., trash chute / room, janitor closet)</t>
  </si>
  <si>
    <t>4501-5000</t>
  </si>
  <si>
    <t>ENERGY STAR Multifamily New Construction Reference Design, Version 1, Class AW
Common Area - Class AW Windows in Dwelling Units
Exception: Class AW windows modeled to 2012 IECC levels (Commercial window U-Factor requirements)</t>
  </si>
  <si>
    <t>ENERGY STAR Multifamily New Construction Reference Design, Version 1.1, Class AW
Common Area - Class AW Windows in Dwelling Units
Exception: Class AW windows modeled to 2012 IECC levels (Commercial window U-Factor requirements)</t>
  </si>
  <si>
    <t>Inactive Storage (e.g., tenant storage)</t>
  </si>
  <si>
    <t>Insulation entirely above deck</t>
  </si>
  <si>
    <t>R-37ci</t>
  </si>
  <si>
    <t>R-48ci</t>
  </si>
  <si>
    <t>U-0.048</t>
  </si>
  <si>
    <t>U-0.039</t>
  </si>
  <si>
    <t>U-0.063</t>
  </si>
  <si>
    <t>U-0.032</t>
  </si>
  <si>
    <t>U-0.028</t>
  </si>
  <si>
    <t>Exercise Area / Room</t>
  </si>
  <si>
    <r>
      <t>Metal buildings (with R-5 thermal blocks</t>
    </r>
    <r>
      <rPr>
        <vertAlign val="superscript"/>
        <sz val="12"/>
        <rFont val="Calibri"/>
        <family val="2"/>
        <scheme val="minor"/>
      </rPr>
      <t>a,b</t>
    </r>
    <r>
      <rPr>
        <sz val="12"/>
        <rFont val="Calibri"/>
        <family val="2"/>
        <scheme val="minor"/>
      </rPr>
      <t>)</t>
    </r>
  </si>
  <si>
    <t>R-10 + R-19 + R-13</t>
  </si>
  <si>
    <t>R-10 + R-19 + R-24</t>
  </si>
  <si>
    <t>Fixed Window U-Factor</t>
  </si>
  <si>
    <t>Metal buildings</t>
  </si>
  <si>
    <t>U-0.065</t>
  </si>
  <si>
    <t>U-0.055</t>
  </si>
  <si>
    <t>U-0.049</t>
  </si>
  <si>
    <t>U-0.035</t>
  </si>
  <si>
    <t>U-0.044</t>
  </si>
  <si>
    <t>U-0.031</t>
  </si>
  <si>
    <t>U-0.029</t>
  </si>
  <si>
    <t>Corridor / Transition</t>
  </si>
  <si>
    <t>Attic and other</t>
  </si>
  <si>
    <t>Operable Window U-Factor</t>
  </si>
  <si>
    <t>U-0.027</t>
  </si>
  <si>
    <t>U-0.034</t>
  </si>
  <si>
    <t>U-0.021</t>
  </si>
  <si>
    <t>Stairs - Active</t>
  </si>
  <si>
    <t>SHGC</t>
  </si>
  <si>
    <t>Restroom</t>
  </si>
  <si>
    <t>IECC2009_R_WallsAboveGrade</t>
  </si>
  <si>
    <t>IECC2012_R_WallsAboveGrade</t>
  </si>
  <si>
    <t>IECC2009_RU_WallAboveGrade</t>
  </si>
  <si>
    <t>IECC2009_OU_WallAboveGrade</t>
  </si>
  <si>
    <t>IECC2012_OU_WallAboveGrade</t>
  </si>
  <si>
    <t>Laundry Room</t>
  </si>
  <si>
    <r>
      <t xml:space="preserve">2009 IECC Table 502.2(1) - Building Envelope Requirements - Opaque Assemblies - Group R - </t>
    </r>
    <r>
      <rPr>
        <b/>
        <u/>
        <sz val="12"/>
        <color theme="1"/>
        <rFont val="Calibri"/>
        <family val="2"/>
        <scheme val="minor"/>
      </rPr>
      <t>Walls, Above Grade</t>
    </r>
  </si>
  <si>
    <r>
      <t xml:space="preserve">2012 IECC Table C402.2 - Building Envelope Requirements - Opaque Assemblies - Group R - </t>
    </r>
    <r>
      <rPr>
        <b/>
        <u/>
        <sz val="12"/>
        <color theme="1"/>
        <rFont val="Calibri"/>
        <family val="2"/>
        <scheme val="minor"/>
      </rPr>
      <t>Walls, Above Grade</t>
    </r>
  </si>
  <si>
    <t>IECC2009_Fenestration_NotAW_Windows</t>
  </si>
  <si>
    <t>ESRefDesign_FenestrationAW_V12</t>
  </si>
  <si>
    <r>
      <t xml:space="preserve">2009 IECC Table 502.1.2 - Building Envelope Requirements - Opaque Element - Maximum U-Factors - Group R - </t>
    </r>
    <r>
      <rPr>
        <b/>
        <u/>
        <sz val="12"/>
        <color theme="1"/>
        <rFont val="Calibri"/>
        <family val="2"/>
        <scheme val="minor"/>
      </rPr>
      <t>Walls, Above Grade</t>
    </r>
  </si>
  <si>
    <r>
      <t xml:space="preserve">2009 IECC Table 502.1.2 - Building Envelope Requirements - Opaque Element - Maximum U-Factors - All Other - </t>
    </r>
    <r>
      <rPr>
        <b/>
        <u/>
        <sz val="12"/>
        <color theme="1"/>
        <rFont val="Calibri"/>
        <family val="2"/>
        <scheme val="minor"/>
      </rPr>
      <t>Walls, Above Grade</t>
    </r>
  </si>
  <si>
    <r>
      <t xml:space="preserve">2012 IECC Table C402.1.2 - Building Envelope Requirements - Opaque Element - Maximum U-Factors - All Other - </t>
    </r>
    <r>
      <rPr>
        <b/>
        <u/>
        <sz val="12"/>
        <color theme="1"/>
        <rFont val="Calibri"/>
        <family val="2"/>
        <scheme val="minor"/>
      </rPr>
      <t>Walls, Above Grade</t>
    </r>
  </si>
  <si>
    <t>Office</t>
  </si>
  <si>
    <t>2009 IECC Table 402.1.1 - Insulation and Fenestration Requirements by Component
Dwelling unit doors and windows that are not classified “Class AW”*</t>
  </si>
  <si>
    <t>ENERGY STAR Multifamily New Construction Reference Design, Version 1.2, Class AW
Common Area - Class AW Windows in Dwelling Units
Exception: Class AW windows modeled to 2012 IECC levels (Commercial window U-Factor requirements)</t>
  </si>
  <si>
    <t>Lounge / Recreation / Community Room / Computer Room</t>
  </si>
  <si>
    <t>Mass</t>
  </si>
  <si>
    <t>R-12.5ci</t>
  </si>
  <si>
    <t>R-18.8ci</t>
  </si>
  <si>
    <t>R-25.2ci</t>
  </si>
  <si>
    <t>U-0.151</t>
  </si>
  <si>
    <t>U-0.123</t>
  </si>
  <si>
    <t>U-0.104</t>
  </si>
  <si>
    <t>U-0.090</t>
  </si>
  <si>
    <t>U-0.080</t>
  </si>
  <si>
    <t>U-0.071</t>
  </si>
  <si>
    <t>U-0.052</t>
  </si>
  <si>
    <t>U-0.58</t>
  </si>
  <si>
    <t>U-0.142</t>
  </si>
  <si>
    <t>U-0.110</t>
  </si>
  <si>
    <t>U-0.078</t>
  </si>
  <si>
    <t>U-0.061</t>
  </si>
  <si>
    <t>Electrical / Mechanical</t>
  </si>
  <si>
    <r>
      <t>Metal building</t>
    </r>
    <r>
      <rPr>
        <vertAlign val="superscript"/>
        <sz val="12"/>
        <rFont val="Calibri"/>
        <family val="2"/>
        <scheme val="minor"/>
      </rPr>
      <t>b</t>
    </r>
  </si>
  <si>
    <t>R-16 + R-5.5ci</t>
  </si>
  <si>
    <t>R-19 + R-5.2ci</t>
  </si>
  <si>
    <t>R-19 + R-8.9ci</t>
  </si>
  <si>
    <t>R-13 + R-9.6ci</t>
  </si>
  <si>
    <t>R-13 + R-13.5ci</t>
  </si>
  <si>
    <t>R-19 + R-12.7ci</t>
  </si>
  <si>
    <t>R-19 + R-30.6ci</t>
  </si>
  <si>
    <t>Metal building</t>
  </si>
  <si>
    <t>Fenestration U-Factor</t>
  </si>
  <si>
    <t>U-0.093</t>
  </si>
  <si>
    <t>U-0.084</t>
  </si>
  <si>
    <t>U-0.069</t>
  </si>
  <si>
    <t>U-0.057</t>
  </si>
  <si>
    <t>U-0.079</t>
  </si>
  <si>
    <t>Workshop</t>
  </si>
  <si>
    <t>Metal framed</t>
  </si>
  <si>
    <t>R-13 + R-3.3ci OR R-19 + R-2.1ci</t>
  </si>
  <si>
    <t>R-13 + R-7.5ci OR R-19 + R-6.5ci</t>
  </si>
  <si>
    <t>R-13 + R-11.5ci OR R-19 + R-10.5ci</t>
  </si>
  <si>
    <t>R-13 + R-20ci OR R-19 + 18.6ci</t>
  </si>
  <si>
    <t>Skylight U-Factor</t>
  </si>
  <si>
    <t>U-0.124</t>
  </si>
  <si>
    <t>U-0.064</t>
  </si>
  <si>
    <t>U-0.037</t>
  </si>
  <si>
    <t>U-0.077</t>
  </si>
  <si>
    <t>U-0.045</t>
  </si>
  <si>
    <t>Wood framed and other</t>
  </si>
  <si>
    <t>R-13</t>
  </si>
  <si>
    <t>R-13 + R-3.8ci</t>
  </si>
  <si>
    <t>R-13 + R-7.5ci</t>
  </si>
  <si>
    <t>R-13 + R-15.6ci</t>
  </si>
  <si>
    <t>R-13 + R-3.8ci or R-20</t>
  </si>
  <si>
    <t>R-13 + R-7.5ci or R-20 + R-3.8ci</t>
  </si>
  <si>
    <t>R-13 + R-15.6ci or R-20 + R-10ci</t>
  </si>
  <si>
    <t>Glazed Fenestration SHGC</t>
  </si>
  <si>
    <t>U-0.089</t>
  </si>
  <si>
    <t>U-0.051</t>
  </si>
  <si>
    <t>U-0.036</t>
  </si>
  <si>
    <t>Ceiling R-Value</t>
  </si>
  <si>
    <t>ExhibitX</t>
  </si>
  <si>
    <t>IECC2009_R_WallsBelowGrade</t>
  </si>
  <si>
    <t>IECC2012_R_WallsBelowGrade</t>
  </si>
  <si>
    <t>Wood Frame Wall R-Value</t>
  </si>
  <si>
    <t>20 or 13+5h</t>
  </si>
  <si>
    <t>IECC2009_RU_WallBelowGrade</t>
  </si>
  <si>
    <t>IECC2009_OU_WallBelowGrade</t>
  </si>
  <si>
    <t>IECC2012_OU_WallBelowGrade</t>
  </si>
  <si>
    <t>ENERGY STAR Multifamily New Construction Rater Field Checklist - Exhibit X</t>
  </si>
  <si>
    <r>
      <t xml:space="preserve">2009 IECC Table 502.2(1) - Building Envelope Requirements - Opaque Assemblies - Group R - </t>
    </r>
    <r>
      <rPr>
        <b/>
        <u/>
        <sz val="12"/>
        <color theme="1"/>
        <rFont val="Calibri"/>
        <family val="2"/>
        <scheme val="minor"/>
      </rPr>
      <t>Walls, Below Grade</t>
    </r>
  </si>
  <si>
    <r>
      <t xml:space="preserve">2012 IECC Table C402.2 - Building Envelope Requirements - Opaque Assemblies - Group R - </t>
    </r>
    <r>
      <rPr>
        <b/>
        <u/>
        <sz val="12"/>
        <color theme="1"/>
        <rFont val="Calibri"/>
        <family val="2"/>
        <scheme val="minor"/>
      </rPr>
      <t>Walls, Below Grade</t>
    </r>
  </si>
  <si>
    <t>Mass Wall R-Value</t>
  </si>
  <si>
    <t>3/4</t>
  </si>
  <si>
    <t>4/6</t>
  </si>
  <si>
    <t>5/8</t>
  </si>
  <si>
    <t>5/10</t>
  </si>
  <si>
    <t>13/17</t>
  </si>
  <si>
    <t>15/19</t>
  </si>
  <si>
    <t>19/21</t>
  </si>
  <si>
    <r>
      <t xml:space="preserve">2009 IECC Table 502.1.2 - Building Envelope Requirements - Opaque Element - Maximum U-Factors - Group R - </t>
    </r>
    <r>
      <rPr>
        <b/>
        <u/>
        <sz val="12"/>
        <color theme="1"/>
        <rFont val="Calibri"/>
        <family val="2"/>
        <scheme val="minor"/>
      </rPr>
      <t>Walls, Below Grade</t>
    </r>
  </si>
  <si>
    <r>
      <t xml:space="preserve">2009 IECC Table 502.1.2 - Building Envelope Requirements - Opaque Element - Maximum U-Factors - All Other - </t>
    </r>
    <r>
      <rPr>
        <b/>
        <u/>
        <sz val="12"/>
        <color theme="1"/>
        <rFont val="Calibri"/>
        <family val="2"/>
        <scheme val="minor"/>
      </rPr>
      <t>Walls, Below Grade</t>
    </r>
  </si>
  <si>
    <r>
      <t xml:space="preserve">2012 IECC Table C402.1.2 - Building Envelope Requirements - Opaque Element - Maximum U-Factors - All Other - </t>
    </r>
    <r>
      <rPr>
        <b/>
        <u/>
        <sz val="12"/>
        <color theme="1"/>
        <rFont val="Calibri"/>
        <family val="2"/>
        <scheme val="minor"/>
      </rPr>
      <t>Walls, Below Grade</t>
    </r>
  </si>
  <si>
    <t>Equipment Type</t>
  </si>
  <si>
    <t>Minimum Efficiency</t>
  </si>
  <si>
    <t>Floor R-Value</t>
  </si>
  <si>
    <t>30g</t>
  </si>
  <si>
    <t>38g</t>
  </si>
  <si>
    <t>Room AC ( window, through-wall, ductless mini-splits)</t>
  </si>
  <si>
    <t>ENERGY STAR certified</t>
  </si>
  <si>
    <r>
      <t>Below grade wall</t>
    </r>
    <r>
      <rPr>
        <vertAlign val="superscript"/>
        <sz val="12"/>
        <rFont val="Calibri"/>
        <family val="2"/>
        <scheme val="minor"/>
      </rPr>
      <t>d</t>
    </r>
  </si>
  <si>
    <t>R-7.5ci</t>
  </si>
  <si>
    <t>R-10ci</t>
  </si>
  <si>
    <t>Basement Wall R-Value</t>
  </si>
  <si>
    <t>5/13f</t>
  </si>
  <si>
    <t>10/13</t>
  </si>
  <si>
    <t>Below grade wall</t>
  </si>
  <si>
    <t>C-1.140</t>
  </si>
  <si>
    <t>C-0.119</t>
  </si>
  <si>
    <t>C-0.092</t>
  </si>
  <si>
    <t>C-0.075</t>
  </si>
  <si>
    <t>Air conditioners, air cooled (&lt;13 KBtu/h)</t>
  </si>
  <si>
    <t>13 SEER</t>
  </si>
  <si>
    <t>Slab R-Value &amp; Depth</t>
  </si>
  <si>
    <t>R-10, 2 ft</t>
  </si>
  <si>
    <t>R-10, 4 ft</t>
  </si>
  <si>
    <t>Air conditioners, air cooled (≥13 and &lt;65 KBtu/h)</t>
  </si>
  <si>
    <t>See Reference Design</t>
  </si>
  <si>
    <t>IECC2009_R_Floors</t>
  </si>
  <si>
    <t>IECC2012_R_Floors</t>
  </si>
  <si>
    <t>Crawl Space Wall R-Value</t>
  </si>
  <si>
    <t>5/13</t>
  </si>
  <si>
    <t>IECC2009_RU_Floor</t>
  </si>
  <si>
    <t>IECC2009_OU_Floor</t>
  </si>
  <si>
    <t>IECC2012_OU_Floor</t>
  </si>
  <si>
    <t>Air conditioners, air cooled (≥65 and &lt;240 KBtu/h)</t>
  </si>
  <si>
    <t>11.5 EER/12.0 IEER</t>
  </si>
  <si>
    <r>
      <t xml:space="preserve">2009 IECC Table 502.2(1) - Building Envelope Requirements - Opaque Assemblies - Group R - </t>
    </r>
    <r>
      <rPr>
        <b/>
        <u/>
        <sz val="12"/>
        <color theme="1"/>
        <rFont val="Calibri"/>
        <family val="2"/>
        <scheme val="minor"/>
      </rPr>
      <t>Floors</t>
    </r>
  </si>
  <si>
    <r>
      <t xml:space="preserve">2012 IECC Table C402.2 - Building Envelope Requirements - Opaque Assemblies - Group R - </t>
    </r>
    <r>
      <rPr>
        <b/>
        <u/>
        <sz val="12"/>
        <color theme="1"/>
        <rFont val="Calibri"/>
        <family val="2"/>
        <scheme val="minor"/>
      </rPr>
      <t>Floors</t>
    </r>
  </si>
  <si>
    <r>
      <t xml:space="preserve">2009 IECC Table 502.1.2 - Building Envelope Requirements - Opaque Element - Maximum U-Factors - Group R - </t>
    </r>
    <r>
      <rPr>
        <b/>
        <u/>
        <sz val="12"/>
        <color theme="1"/>
        <rFont val="Calibri"/>
        <family val="2"/>
        <scheme val="minor"/>
      </rPr>
      <t>Floors</t>
    </r>
  </si>
  <si>
    <r>
      <t xml:space="preserve">2009 IECC Table 502.1.2 - Building Envelope Requirements - Opaque Element - Maximum U-Factors - All Other - </t>
    </r>
    <r>
      <rPr>
        <b/>
        <u/>
        <sz val="12"/>
        <color theme="1"/>
        <rFont val="Calibri"/>
        <family val="2"/>
        <scheme val="minor"/>
      </rPr>
      <t>Floors</t>
    </r>
  </si>
  <si>
    <r>
      <t xml:space="preserve">2012 IECC Table C402.1.2 - Building Envelope Requirements - Opaque Element - Maximum U-Factors - All Other - </t>
    </r>
    <r>
      <rPr>
        <b/>
        <u/>
        <sz val="12"/>
        <color theme="1"/>
        <rFont val="Calibri"/>
        <family val="2"/>
        <scheme val="minor"/>
      </rPr>
      <t>Floors</t>
    </r>
  </si>
  <si>
    <t>Air conditioners, air cooled (≥240 and &lt; 760 KBtu/h)</t>
  </si>
  <si>
    <t>10.0 EER/10.5 IEER</t>
  </si>
  <si>
    <t>IECC2009_Fenestration_AW_Windows</t>
  </si>
  <si>
    <t>Electric resistance space heating</t>
  </si>
  <si>
    <t>·         Not permitted in any dwelling unit using the Prescriptive Path
·         Electric resistance heating specified in common spaces has a total heating capacity ≤ 12 kBtu/h (3.5 kW) per enclosed space and has automatic thermostatic controls</t>
  </si>
  <si>
    <t>R-16.3ci</t>
  </si>
  <si>
    <t>R-27.5ci</t>
  </si>
  <si>
    <t>R-12ci</t>
  </si>
  <si>
    <t>2009 IECC Table 502.3 - Building Envelope Requirements: Fenestration</t>
  </si>
  <si>
    <t>U-0.322</t>
  </si>
  <si>
    <t>U-0.087</t>
  </si>
  <si>
    <t>U-0.074</t>
  </si>
  <si>
    <t>U-0.107</t>
  </si>
  <si>
    <t>U-0.076</t>
  </si>
  <si>
    <t>Warm-Air Furnace (&lt;225 KBtu/h, common spaces)</t>
  </si>
  <si>
    <t>78% AFUE or 80% Et</t>
  </si>
  <si>
    <t>Joist/framing
Steel/(wood)</t>
  </si>
  <si>
    <t>R-30</t>
  </si>
  <si>
    <r>
      <t>R-30</t>
    </r>
    <r>
      <rPr>
        <vertAlign val="superscript"/>
        <sz val="12"/>
        <rFont val="Calibri"/>
        <family val="2"/>
        <scheme val="minor"/>
      </rPr>
      <t>e</t>
    </r>
  </si>
  <si>
    <t>Joist/framing</t>
  </si>
  <si>
    <t>U-0.282</t>
  </si>
  <si>
    <t>U-0.033</t>
  </si>
  <si>
    <t>U-0.066</t>
  </si>
  <si>
    <t>Warm-Air Furnace (&lt;225 KBtu/h, dwelling units)</t>
  </si>
  <si>
    <t>Non-Metal</t>
  </si>
  <si>
    <t>Warm-Air Furnace (≥225 KBtu/h)</t>
  </si>
  <si>
    <t>80% Et (gas)    or     81% Et (oil)</t>
  </si>
  <si>
    <t>IECC2009_R_SlabOnGradeFloors</t>
  </si>
  <si>
    <t>IECC2012_R_SlabOnGradeFloors</t>
  </si>
  <si>
    <t>Metal - Curtainwall/storefront</t>
  </si>
  <si>
    <t>IECC2009_RU_SlabOnGradeFloor</t>
  </si>
  <si>
    <t>IECC2009_OU_SlabOnGradeFloor</t>
  </si>
  <si>
    <t>IECC2012_OU_SlabOnGradeFloor</t>
  </si>
  <si>
    <t>Packaged Terminal Air Conditioner (PTAC)</t>
  </si>
  <si>
    <t>13.8 – (0.300 X Cap/1000) EER</t>
  </si>
  <si>
    <r>
      <t xml:space="preserve">2009 IECC Table 502.2(1) - Building Envelope Requirements - Opaque Assemblies - Group R - </t>
    </r>
    <r>
      <rPr>
        <b/>
        <u/>
        <sz val="12"/>
        <color theme="1"/>
        <rFont val="Calibri"/>
        <family val="2"/>
        <scheme val="minor"/>
      </rPr>
      <t>Slab-on-Grade Floors</t>
    </r>
  </si>
  <si>
    <r>
      <t xml:space="preserve">2012 IECC Table C402.2 - Building Envelope Requirements - Opaque Assemblies - Group R - </t>
    </r>
    <r>
      <rPr>
        <b/>
        <u/>
        <sz val="12"/>
        <color theme="1"/>
        <rFont val="Calibri"/>
        <family val="2"/>
        <scheme val="minor"/>
      </rPr>
      <t>Slab-on-Grade Floors</t>
    </r>
  </si>
  <si>
    <t>Metal - Entrance door</t>
  </si>
  <si>
    <r>
      <t xml:space="preserve">2009 IECC Table 502.1.2 - Building Envelope Requirements - Opaque Element - Maximum U-Factors - Group R - </t>
    </r>
    <r>
      <rPr>
        <b/>
        <u/>
        <sz val="12"/>
        <color theme="1"/>
        <rFont val="Calibri"/>
        <family val="2"/>
        <scheme val="minor"/>
      </rPr>
      <t>Slab-on-Grade Floors</t>
    </r>
  </si>
  <si>
    <r>
      <t xml:space="preserve">2009 IECC Table 502.1.2 - Building Envelope Requirements - Opaque Element - Maximum U-Factors - All Other - </t>
    </r>
    <r>
      <rPr>
        <b/>
        <u/>
        <sz val="12"/>
        <color theme="1"/>
        <rFont val="Calibri"/>
        <family val="2"/>
        <scheme val="minor"/>
      </rPr>
      <t>Slab-on-Grade Floors</t>
    </r>
  </si>
  <si>
    <r>
      <t xml:space="preserve">2012 IECC Table C402.1.2 - Building Envelope Requirements - Opaque Element - Maximum U-Factors - All Other - </t>
    </r>
    <r>
      <rPr>
        <b/>
        <u/>
        <sz val="12"/>
        <color theme="1"/>
        <rFont val="Calibri"/>
        <family val="2"/>
        <scheme val="minor"/>
      </rPr>
      <t>Slab-on-Grade Floors</t>
    </r>
  </si>
  <si>
    <t xml:space="preserve">Packaged Terminal Heat Pump (PTHP) </t>
  </si>
  <si>
    <t>Cooling: 14.0– (0.3 X Cap/1000) EER       Heating: 3.7– (0.052 X Cap/1000) COP</t>
  </si>
  <si>
    <t>Metal - Other</t>
  </si>
  <si>
    <t>Air cooled heat pump (≥13 and &lt;65 KBtu/h)</t>
  </si>
  <si>
    <t>Unheated slabs</t>
  </si>
  <si>
    <t>R-10 for 24 in. below</t>
  </si>
  <si>
    <t>R-15 for 24 in. below</t>
  </si>
  <si>
    <t>R-20 for 24 in. below</t>
  </si>
  <si>
    <t>Skylights</t>
  </si>
  <si>
    <t>F-0.730</t>
  </si>
  <si>
    <t>F-0.540</t>
  </si>
  <si>
    <t>F-0.520</t>
  </si>
  <si>
    <t>F-0.510</t>
  </si>
  <si>
    <t>F-0.73</t>
  </si>
  <si>
    <t>F-0.54</t>
  </si>
  <si>
    <t>F-0.40</t>
  </si>
  <si>
    <t>Air cooled heat pump (≥65 and &lt;240 KBtu/h)</t>
  </si>
  <si>
    <t>Cooling: 11.1 EER/11.6 IEER                    Heating: 3.3 COP (@47°F DB)</t>
  </si>
  <si>
    <t>Heated slabs</t>
  </si>
  <si>
    <t>R-7.5 for 12 in. below</t>
  </si>
  <si>
    <t>R-20 for 48 in. below</t>
  </si>
  <si>
    <t>R-15 for 36 in. below</t>
  </si>
  <si>
    <t>SHGC PF &lt; 0.25</t>
  </si>
  <si>
    <t>F-1.020</t>
  </si>
  <si>
    <t>F-0.900</t>
  </si>
  <si>
    <t>F-0.860</t>
  </si>
  <si>
    <t>F-0.688</t>
  </si>
  <si>
    <t>F-0.830</t>
  </si>
  <si>
    <t>F-0.70</t>
  </si>
  <si>
    <t>F-0.65</t>
  </si>
  <si>
    <t>F-0.58</t>
  </si>
  <si>
    <t>F-0.55</t>
  </si>
  <si>
    <t>Air cooled heat pump (≥240 KBtu/h)</t>
  </si>
  <si>
    <t>Cooling: 9.6 EER/9.6 IEER                      Heating: 3.2 COP (@47°F DB)</t>
  </si>
  <si>
    <t>SHGC 0.25 &lt; PF &lt; 0.5</t>
  </si>
  <si>
    <t>Water-source heat pump (&lt;135 KBtu/h)</t>
  </si>
  <si>
    <t>Cooling: 14.0 EER(86°F entering water) Heating: 4.2 COP(68°F entering water)</t>
  </si>
  <si>
    <t>IECC2009_R_OpaqueDoors</t>
  </si>
  <si>
    <t>IECC2012_R_OpaqueDoors</t>
  </si>
  <si>
    <t>SHGC PF &gt;= 0.5</t>
  </si>
  <si>
    <t>Boilers, hot water (&lt;300,000 Btu/h)</t>
  </si>
  <si>
    <r>
      <t xml:space="preserve">2009 IECC Table 502.2(1) - Building Envelope Requirements - Opaque Assemblies - Group R - </t>
    </r>
    <r>
      <rPr>
        <b/>
        <u/>
        <sz val="12"/>
        <color theme="1"/>
        <rFont val="Calibri"/>
        <family val="2"/>
        <scheme val="minor"/>
      </rPr>
      <t>Opaque Doors</t>
    </r>
  </si>
  <si>
    <r>
      <t xml:space="preserve">2012 IECC Table C402.2 - Building Envelope Requirements - Opaque Assemblies - Group R - </t>
    </r>
    <r>
      <rPr>
        <b/>
        <u/>
        <sz val="12"/>
        <color theme="1"/>
        <rFont val="Calibri"/>
        <family val="2"/>
        <scheme val="minor"/>
      </rPr>
      <t>Opaque Doors</t>
    </r>
  </si>
  <si>
    <t>SHGC Skylights</t>
  </si>
  <si>
    <t>Boilers, hot water (≥300,000 Btu/h)</t>
  </si>
  <si>
    <t>86% Et  (89% Et if using heat pumps)</t>
  </si>
  <si>
    <t>VRF Air Conditioners and Heat Pumps</t>
  </si>
  <si>
    <t>See Tables 6.8.1I and 6.8.1J of ASHRAE 90.1-2010</t>
  </si>
  <si>
    <t>Swinging</t>
  </si>
  <si>
    <t>U-0.70</t>
  </si>
  <si>
    <t>U-0.50</t>
  </si>
  <si>
    <t>U-0.61</t>
  </si>
  <si>
    <t>U-0.37</t>
  </si>
  <si>
    <t>IECC2009_Equivalent_Ufactors</t>
  </si>
  <si>
    <t xml:space="preserve">Air-cooled chillers with or without condenser </t>
  </si>
  <si>
    <t>10.0 EER / 12.5 IPLV</t>
  </si>
  <si>
    <t>Roll-up or sliding</t>
  </si>
  <si>
    <t>U-1.45</t>
  </si>
  <si>
    <t>R-4.75</t>
  </si>
  <si>
    <t>2009 IECC Table 402.1.3 - Equivalent U-Factors</t>
  </si>
  <si>
    <t>Water-cooled chiller, positive displacement (&lt;75 tons)</t>
  </si>
  <si>
    <t>0.780 kW/ton (Full load) /  0.630 kW/ton (IPLV)</t>
  </si>
  <si>
    <t>Water-cooled chiller, positive displacement (75-150 tons)</t>
  </si>
  <si>
    <t>0.775 kW/ton (Full load) /  0.615 kW/ton (IPLV)</t>
  </si>
  <si>
    <t>For SI: 1 inch = 25.4 mm.</t>
  </si>
  <si>
    <t>Water-cooled chiller, positive displacement (150-300tons)</t>
  </si>
  <si>
    <t>0.680 kW/ton (Full load) /  0.580 kW/ton (IPLV)</t>
  </si>
  <si>
    <t>ci = Continuous insulation</t>
  </si>
  <si>
    <t>Water-cooled chiller, positive displacement (&gt;300 tons)</t>
  </si>
  <si>
    <t>0.620 kW/ton (Full load) /  0.540 kW/ton (IPLV)</t>
  </si>
  <si>
    <t>NR = No requirement</t>
  </si>
  <si>
    <t>Ceiling U-Factor</t>
  </si>
  <si>
    <t>Water-cooled, centrifugal (&lt;300 tons)</t>
  </si>
  <si>
    <t>0.634 kW/ton (Full load) /  0.596 kW/ton (IPLV)</t>
  </si>
  <si>
    <t>a. When using R-value compliance method, a thermal spacer block is required, otherwise use the U-factor complaince method. [see Tables 502.1.2 and 502.2(2)].</t>
  </si>
  <si>
    <t>a. Assembly descriptions can be found in ANSI/ASHRAE/IESNA Appendix A.</t>
  </si>
  <si>
    <t>Frame Wall U-Factor</t>
  </si>
  <si>
    <t>Water-cooled, centrifugal (≥300 and &lt;600 tons)</t>
  </si>
  <si>
    <t>0.576 kW/ton (Full load) /  0.549 kW/ton (IPLV)</t>
  </si>
  <si>
    <t>b. Assembly descriptions can be found in Table 502.2(2).</t>
  </si>
  <si>
    <t>b. Where using R-vale compliance method, a thermal spacer block shall be provided, otherwise use the U-factor compliance method in Table C402.1.2.</t>
  </si>
  <si>
    <t>Mass Wall U-Factor</t>
  </si>
  <si>
    <t>0.197</t>
  </si>
  <si>
    <t>0.165</t>
  </si>
  <si>
    <t>0.141</t>
  </si>
  <si>
    <t>0.082</t>
  </si>
  <si>
    <t>0.060</t>
  </si>
  <si>
    <t>0.057</t>
  </si>
  <si>
    <t>Water-cooled, centrifugal (≥600 tons)</t>
  </si>
  <si>
    <t>0.570 kW/ton (Full load) /  0.539 kW/ton (IPLV)</t>
  </si>
  <si>
    <t>c. R-5.7 ci is allowed to be substituted with concrete block walls complying with ASTM C 90, ungrouted or partially grouted at 32 inches or less on vertically and 48 inches or less on center horizontally, with ungrouted cores filled with materials having a maximum thermal coductivity of 0.44 Btu-in./h-f2 F</t>
  </si>
  <si>
    <t>Floor U-Factor</t>
  </si>
  <si>
    <t>Air-cooled absorption single effect chiller</t>
  </si>
  <si>
    <t>0.6 COP</t>
  </si>
  <si>
    <t>d. When heated slabs are placed below grade, below-grade walls must meet the exterior insulation requirements for permimeter insulation according to heated slab-on-grade construction.</t>
  </si>
  <si>
    <t>d. Where heated slabs are placed below grade, below-grade walls shall comply with the exterior insulation requirements for heated slabs.</t>
  </si>
  <si>
    <t>Basement Wall U-Factor</t>
  </si>
  <si>
    <t>0.091c</t>
  </si>
  <si>
    <t>0.059</t>
  </si>
  <si>
    <t>0.050</t>
  </si>
  <si>
    <t>Water-cooled absorption single effect chiller</t>
  </si>
  <si>
    <t>0.7 COP</t>
  </si>
  <si>
    <t>e. Steel floor joist systems shall be R-38.</t>
  </si>
  <si>
    <t>e. Steel floor joist systems shall be insulated to R-38.</t>
  </si>
  <si>
    <t>Crawl Space Wall U-Factor</t>
  </si>
  <si>
    <t>Absorption double effect indirect-fired chiller</t>
  </si>
  <si>
    <t>1.0 COP (Full load) / 1.05 COP (IPLV)</t>
  </si>
  <si>
    <t>Absorption double effect direct-fired chiller</t>
  </si>
  <si>
    <t>1.0 COP (Full load) / 1.00 COP (IPLV)</t>
  </si>
  <si>
    <t>Open-loop propeller or axial fan cooling towers*</t>
  </si>
  <si>
    <t>&gt;40 gpm/hp (@95°F entering water, 85°F leaving water, 75°F wb entering air)</t>
  </si>
  <si>
    <t>IECC2009_O_Roofs</t>
  </si>
  <si>
    <t>IECC2012_O_Roofs</t>
  </si>
  <si>
    <t>Closed-loop propeller or axial fan cooling towers*</t>
  </si>
  <si>
    <t>&gt;15 gpm/hp (@102°F entering water, 90°F leaving water, 75°F wb entering air)</t>
  </si>
  <si>
    <r>
      <t xml:space="preserve">2009 IECC Table 502.2(1) - Building Envelope Requirements - Opaque Assemblies - All Other - </t>
    </r>
    <r>
      <rPr>
        <b/>
        <u/>
        <sz val="12"/>
        <color theme="1"/>
        <rFont val="Calibri"/>
        <family val="2"/>
        <scheme val="minor"/>
      </rPr>
      <t>Roofs</t>
    </r>
  </si>
  <si>
    <r>
      <t xml:space="preserve">2012 IECC Table C402.2 - Building Envelope Requirements - Opaque Assemblies - All Other - </t>
    </r>
    <r>
      <rPr>
        <b/>
        <u/>
        <sz val="12"/>
        <color theme="1"/>
        <rFont val="Calibri"/>
        <family val="2"/>
        <scheme val="minor"/>
      </rPr>
      <t>Roofs</t>
    </r>
  </si>
  <si>
    <t>Open-loop centrifugal fan cooling towers*</t>
  </si>
  <si>
    <t>&gt;22 gpm/hp (@95°F entering water, 85°F leaving water, 75°F wb entering air)</t>
  </si>
  <si>
    <t>Closed-loop centrifugal fan cooling towers*</t>
  </si>
  <si>
    <t>&gt;8 gpm/hp (@102°F entering water, 90°F leaving water, 75°F wb entering air)</t>
  </si>
  <si>
    <t>R-15ci</t>
  </si>
  <si>
    <t>R-20ci</t>
  </si>
  <si>
    <t>R-25ci</t>
  </si>
  <si>
    <t>R-30ci</t>
  </si>
  <si>
    <t>R-35ci</t>
  </si>
  <si>
    <t>Cap means the rated capacity of the product in Btu/h. If &lt; 7,000 Btu/h, use 7,000; if &gt; 15,000, use 15,000 in calculation.</t>
  </si>
  <si>
    <t>R-19</t>
  </si>
  <si>
    <t>R-13 + R-13</t>
  </si>
  <si>
    <t>R-13 + R-19</t>
  </si>
  <si>
    <t>R-11 + R-19</t>
  </si>
  <si>
    <t>R-19 + R-11 LS</t>
  </si>
  <si>
    <t>R-25 + R-11 LS</t>
  </si>
  <si>
    <t>R-30 + R-11 LS</t>
  </si>
  <si>
    <t>*Cooling tower fan motors must be equipped with VFD controlled by a temperature sensor on the condenser water supply pipe.</t>
  </si>
  <si>
    <t>IECC2009_O_WallsAboveGrade</t>
  </si>
  <si>
    <t>IECC2012_O_WallsAboveGrade</t>
  </si>
  <si>
    <r>
      <t xml:space="preserve">2009 IECC Table 502.2(1) - Building Envelope Requirements - Opaque Assemblies - All Other - </t>
    </r>
    <r>
      <rPr>
        <b/>
        <u/>
        <sz val="12"/>
        <color theme="1"/>
        <rFont val="Calibri"/>
        <family val="2"/>
        <scheme val="minor"/>
      </rPr>
      <t>Walls, Above Grade</t>
    </r>
  </si>
  <si>
    <r>
      <t xml:space="preserve">2012 IECC Table C402.2 - Building Envelope Requirements - Opaque Assemblies - All Other - </t>
    </r>
    <r>
      <rPr>
        <b/>
        <u/>
        <sz val="12"/>
        <color theme="1"/>
        <rFont val="Calibri"/>
        <family val="2"/>
        <scheme val="minor"/>
      </rPr>
      <t>Walls, Above Grade</t>
    </r>
  </si>
  <si>
    <t>R-5.7ci</t>
  </si>
  <si>
    <t>R-7.6ci</t>
  </si>
  <si>
    <t>R-9.5ci</t>
  </si>
  <si>
    <t>R-11.4ci</t>
  </si>
  <si>
    <t>R-13.3ci</t>
  </si>
  <si>
    <t>R-15.2ci</t>
  </si>
  <si>
    <t>R-16</t>
  </si>
  <si>
    <t>R-13 + R-5.6ci</t>
  </si>
  <si>
    <t>R-19 + R-5.6ci</t>
  </si>
  <si>
    <t>R-13 + R-6.5ci</t>
  </si>
  <si>
    <t>R-13 + R-13ci</t>
  </si>
  <si>
    <t>R-13 + R-5ci</t>
  </si>
  <si>
    <t>R-13 + R-7.5ci or R-20 +R-3.8ci</t>
  </si>
  <si>
    <t>R-13 + R-15.6ci or R-20 +R-10ci</t>
  </si>
  <si>
    <t>IECC2009_O_WallsBelowGrade</t>
  </si>
  <si>
    <t>IECC2012_O_WallsBelowGrade</t>
  </si>
  <si>
    <r>
      <t xml:space="preserve">2009 IECC Table 502.2(1) - Building Envelope Requirements - Opaque Assemblies - All Other - </t>
    </r>
    <r>
      <rPr>
        <b/>
        <u/>
        <sz val="12"/>
        <color theme="1"/>
        <rFont val="Calibri"/>
        <family val="2"/>
        <scheme val="minor"/>
      </rPr>
      <t>Walls, Below Grade</t>
    </r>
  </si>
  <si>
    <r>
      <t xml:space="preserve">2012 IECC Table C402.2 - Building Envelope Requirements - Opaque Assemblies - All Other - </t>
    </r>
    <r>
      <rPr>
        <b/>
        <u/>
        <sz val="12"/>
        <color theme="1"/>
        <rFont val="Calibri"/>
        <family val="2"/>
        <scheme val="minor"/>
      </rPr>
      <t>Walls, Below Grade</t>
    </r>
  </si>
  <si>
    <t>IECC2009_O_Floors</t>
  </si>
  <si>
    <t>IECC2012_O_Floors</t>
  </si>
  <si>
    <r>
      <t xml:space="preserve">2009 IECC Table 502.2(1) - Building Envelope Requirements - Opaque Assemblies - All Other - </t>
    </r>
    <r>
      <rPr>
        <b/>
        <u/>
        <sz val="12"/>
        <color theme="1"/>
        <rFont val="Calibri"/>
        <family val="2"/>
        <scheme val="minor"/>
      </rPr>
      <t>Floors</t>
    </r>
  </si>
  <si>
    <r>
      <t xml:space="preserve">2012 IECC TTable C402.2 - Building Envelope Requirements - Opaque Assemblies - All Other - </t>
    </r>
    <r>
      <rPr>
        <b/>
        <u/>
        <sz val="12"/>
        <color theme="1"/>
        <rFont val="Calibri"/>
        <family val="2"/>
        <scheme val="minor"/>
      </rPr>
      <t>Floors</t>
    </r>
  </si>
  <si>
    <t>R-6.3ci</t>
  </si>
  <si>
    <t>IECC2009_O_SlabOnGradeFloors</t>
  </si>
  <si>
    <t>IECC2012_O_SlabOnGradeFloors</t>
  </si>
  <si>
    <r>
      <t xml:space="preserve">2009 IECC Table 502.2(1) - Building Envelope Requirements - Opaque Assemblies - All Other - </t>
    </r>
    <r>
      <rPr>
        <b/>
        <u/>
        <sz val="12"/>
        <color theme="1"/>
        <rFont val="Calibri"/>
        <family val="2"/>
        <scheme val="minor"/>
      </rPr>
      <t>Slab-on-Grade Floors</t>
    </r>
  </si>
  <si>
    <r>
      <t xml:space="preserve">2012 IECC Table C402.2 - Building Envelope Requirements - Opaque Assemblies - All Other - </t>
    </r>
    <r>
      <rPr>
        <b/>
        <u/>
        <sz val="12"/>
        <color theme="1"/>
        <rFont val="Calibri"/>
        <family val="2"/>
        <scheme val="minor"/>
      </rPr>
      <t>Slab-on-Grade Floors</t>
    </r>
  </si>
  <si>
    <t>IECC2009_O_OpaqueDoors</t>
  </si>
  <si>
    <t>IECC2012_O_OpaqueDoors</t>
  </si>
  <si>
    <r>
      <t xml:space="preserve">2009 IECC Table 502.2(1) - Building Envelope Requirements - Opaque Assemblies - All Other - </t>
    </r>
    <r>
      <rPr>
        <b/>
        <u/>
        <sz val="12"/>
        <color theme="1"/>
        <rFont val="Calibri"/>
        <family val="2"/>
        <scheme val="minor"/>
      </rPr>
      <t>Opaque Doors</t>
    </r>
  </si>
  <si>
    <r>
      <t xml:space="preserve">2012 IECC Table C402.2 - Building Envelope Requirements - Opaque Assemblies - All Other - </t>
    </r>
    <r>
      <rPr>
        <b/>
        <u/>
        <sz val="12"/>
        <color theme="1"/>
        <rFont val="Calibri"/>
        <family val="2"/>
        <scheme val="minor"/>
      </rPr>
      <t>Opaque Doors</t>
    </r>
  </si>
  <si>
    <t>ESRefDesign_InsulationU_V1</t>
  </si>
  <si>
    <t>ESRefDesign_InsulationU_V11</t>
  </si>
  <si>
    <t>ESRefDesign_InsulationU_V12</t>
  </si>
  <si>
    <t xml:space="preserve">  Unit Compartmentalization
     PHIUS+ On-site Quality Control</t>
  </si>
  <si>
    <r>
      <t xml:space="preserve">Dwelling Unit Compartmentalization Test:  </t>
    </r>
    <r>
      <rPr>
        <i/>
        <sz val="12"/>
        <color theme="1"/>
        <rFont val="Calibri"/>
        <family val="2"/>
        <scheme val="minor"/>
      </rPr>
      <t>Compartmentalization testing shall be performed to test air tightness of individual dwelling units. The test threshold shall be 0.3 CFM50 / sqft unit shell area, otherwise known as Envelope Leakage Ratio (ELR). Testing may be performed using RESNET Chapter 6 Sampling protocols, and may be performed in either depressurization or pressurization mode. Sampling is typically appropriate for projects of at least 30 or more dwelling units. Please discuss with your RESNET QA Provider and/or PHIUS to ensure they will support Sampling being applied to the project. Please document compartmentalization results below.</t>
    </r>
  </si>
  <si>
    <t>Testing protocol</t>
  </si>
  <si>
    <t>RESNET Standards:</t>
  </si>
  <si>
    <t>RESNET MF Guidelines:</t>
  </si>
  <si>
    <t>Sampling Documentation</t>
  </si>
  <si>
    <t>Total project dwelling units</t>
  </si>
  <si>
    <t># Units Initial Sampling qualifying set</t>
  </si>
  <si>
    <t># Sampling sets</t>
  </si>
  <si>
    <t>Initial Sampling Qualifying Set</t>
  </si>
  <si>
    <t>Unit 1</t>
  </si>
  <si>
    <t>Unit 2</t>
  </si>
  <si>
    <t>Unit 3</t>
  </si>
  <si>
    <t>Unit 4</t>
  </si>
  <si>
    <t>Unit 5</t>
  </si>
  <si>
    <t>Unit 6</t>
  </si>
  <si>
    <t>Unit 7</t>
  </si>
  <si>
    <t>Unit #</t>
  </si>
  <si>
    <t>Unit SFBE</t>
  </si>
  <si>
    <t xml:space="preserve">CFM@50 Pa </t>
  </si>
  <si>
    <t>ELR</t>
  </si>
  <si>
    <t xml:space="preserve">Did any units fail (and had to be corrected) during Initial Sampling Qualifying Set? </t>
  </si>
  <si>
    <t>If yes, how many additional units were tested in Qualifying Set?</t>
  </si>
  <si>
    <t>Unit X</t>
  </si>
  <si>
    <t xml:space="preserve">Based on number of Sample Sets listed above, create documentation of compartmentalization testing for each sample set. Typical Sampling Sets are comprised of 7 units. One unit is chosen at random within that Set to serve as the tested unit. If that unit passes the program threshold value, the entire Sample Set passes. If the initial tested unit does not pass, it must be corrected, and one additional unit within the Sample Set must be tested. If the 2nd tested unit passes, the remaining units pass. If the 2nd tested unit does not pass, it must be corrected and all additional units within the Sample Set must be tested. If any additional failure is observed within the Sample Set, sampling must be discontinued until an analysis is performed to determine the root cause. After the root-cause analysis, is performed, seven more units must be tested consecutively without incidence of failure to re-commence sampling. 
Please copy and paste the example Sample Set documentation sequentially below. </t>
  </si>
  <si>
    <t>Sample Set 1</t>
  </si>
  <si>
    <r>
      <t xml:space="preserve">PHIUS+ Quality Control Workbook  
  for Nonresidential Projects  </t>
    </r>
    <r>
      <rPr>
        <b/>
        <i/>
        <sz val="16"/>
        <color theme="1"/>
        <rFont val="Candara"/>
        <family val="2"/>
      </rPr>
      <t>(v1.0 November 2020)</t>
    </r>
  </si>
  <si>
    <t>PHIUS+  Verifier Name</t>
  </si>
  <si>
    <t>Verifier Company Name</t>
  </si>
  <si>
    <r>
      <rPr>
        <b/>
        <sz val="14"/>
        <color theme="1"/>
        <rFont val="Calibri"/>
        <family val="2"/>
        <scheme val="minor"/>
      </rPr>
      <t>Welcome to the PHIUS+ Quality Control Workbook for Nonresidential and Mixed-Use Projects!</t>
    </r>
    <r>
      <rPr>
        <sz val="14"/>
        <color theme="1"/>
        <rFont val="Calibri"/>
        <family val="2"/>
        <scheme val="minor"/>
      </rPr>
      <t xml:space="preserve">
</t>
    </r>
    <r>
      <rPr>
        <sz val="12"/>
        <color theme="1"/>
        <rFont val="Calibri"/>
        <family val="2"/>
        <scheme val="minor"/>
      </rPr>
      <t xml:space="preserve">
</t>
    </r>
    <r>
      <rPr>
        <b/>
        <u/>
        <sz val="12"/>
        <color theme="1"/>
        <rFont val="Calibri"/>
        <family val="2"/>
        <scheme val="minor"/>
      </rPr>
      <t>Certification Criteria</t>
    </r>
    <r>
      <rPr>
        <sz val="12"/>
        <color theme="1"/>
        <rFont val="Calibri"/>
        <family val="2"/>
        <scheme val="minor"/>
      </rPr>
      <t xml:space="preserve">
The PHIUS+ Certification process for nonresidential projects includes energy modeling and design consulting performed by a Certified Passive House Consultant (CPHC) to demonstrate compliance with PHIUS program energy performance metrics, as well as on-site verification of all critical project energy features by a Certified PHIUS+ Verifier. 
Additionally, nonresidential projects shall use the eligibility criteria for the EPA ENERGY STAR MULTI-FAMILY NEW CONSTRUCTION PROGRAM (MFNCP), EPA INDOOR airPLUS and DOE ZERO ENERGY READY HOMES (ZERH) programs and follow checklist requirements those programs.</t>
    </r>
    <r>
      <rPr>
        <b/>
        <sz val="10"/>
        <color theme="1"/>
        <rFont val="Calibri"/>
        <family val="2"/>
        <scheme val="minor"/>
      </rPr>
      <t xml:space="preserve">(1)(2). </t>
    </r>
    <r>
      <rPr>
        <sz val="12"/>
        <color theme="1"/>
        <rFont val="Calibri"/>
        <family val="2"/>
        <scheme val="minor"/>
      </rPr>
      <t>Nonresidential</t>
    </r>
    <r>
      <rPr>
        <b/>
        <sz val="10"/>
        <color theme="1"/>
        <rFont val="Calibri"/>
        <family val="2"/>
        <scheme val="minor"/>
      </rPr>
      <t xml:space="preserve"> </t>
    </r>
    <r>
      <rPr>
        <sz val="12"/>
        <color theme="1"/>
        <rFont val="Calibri"/>
        <family val="2"/>
        <scheme val="minor"/>
      </rPr>
      <t xml:space="preserve">Projects shall be exempt from certifying under those programs however, the certification checklist criteria for these programs shall still be achieved in order to help ensure that Nonresidential projects seeking PHIUS+ Certification are not only energy efficient, but also a durable, comfortable and healthy buildings.  For full program requirements, and clarification on which ESTAR program your project is eligble for, please see the PHIUS+ Certification Guidebook.
</t>
    </r>
  </si>
  <si>
    <t xml:space="preserve">Functional Testing Agent hired by project? </t>
  </si>
  <si>
    <t>Functional Testing Agent responsible Individual</t>
  </si>
  <si>
    <t>Functional Testing Agent meets EPA MFNC Eligibility criteria?</t>
  </si>
  <si>
    <t>Final whole building blower door test Multi-point test in accordance with ANSI/RESNET/ICC 380-2019 or ASTM E-779*</t>
  </si>
  <si>
    <t>*Note- Identify individual zones within building that are tested, if applicable. Use additional copies of this worksheet as needed to describe individual zones.</t>
  </si>
  <si>
    <t xml:space="preserve">Note- Configuration of building tested and /or individual zones shall be described with respect to test setu-up. For example if any intentional or unintentiional openings are temporaily sealed for the test, please ensure they are in line with </t>
  </si>
  <si>
    <t>the PHIUS+ Guidebook and air tightness testing procedures  outlined in ANSI/RESNET/ICC 380-2019 or ASTM E-779</t>
  </si>
  <si>
    <t>The Verifier is responsible for verifying all ventilation items on this worksheet. Ventilation air volume measurements may be verified by a third-party air balancing contractor so long as the Verifier verifies a minimum of 10%, or 10 outlets, whichever is lower (but no less than 3).  The items on this worksheet that pertain to commercial space ventilation &amp; must be verified with an individual worksheet for each space. Alternatively, the Verifier has the option to use a Sampling protocol to verify ventilation criteria with prior approval from PHIUS Staff. 
Verifier shall be responsible for collecting air balance documentation for all ventilation systems, documenting the design ventilation rate and the final verified air balance rate.</t>
  </si>
  <si>
    <t>Verifierr-measured bathroom exhaust rates meets one of the following: &gt;=20cfm continuous or 50 cfm intermittent</t>
  </si>
  <si>
    <t>Verifier-measured kitchen exhaust rates meets one of the following: &gt;=25cfm continuous, 100cfm intermittent for range hoods, or 5ACH based on kitchen volume</t>
  </si>
  <si>
    <t>Verifier performed common space ventilation testing on all common space ventilation systems, or alternatively has collected air balancing 
documentation from HVAC Contractor or certified air balancing professional which documents the design and verified rate, runtime, and wattage.</t>
  </si>
  <si>
    <t xml:space="preserve">Verifier documented common space ventilation system information (List all installed ventilation systems) </t>
  </si>
  <si>
    <r>
      <t>Complete  form for each piece of heating/cooling equipment with air distribution. Additional heating/cooling checks listed for items 4 and beyond. For example, if each space has its own heat pump, complete one form for each system. Copy and past additional forms/sheets into this workbook as needed. Ducted heating/cooling air volume measurements may be verified by a third-party air balancing contractor so long as the Verifier verifies a minimum of 10% of or 10, outlets, whichever is lower (</t>
    </r>
    <r>
      <rPr>
        <i/>
        <sz val="12"/>
        <color rgb="FFFF0000"/>
        <rFont val="Calibri"/>
        <family val="2"/>
      </rPr>
      <t>but no less than 3)</t>
    </r>
    <r>
      <rPr>
        <i/>
        <sz val="12"/>
        <color theme="1"/>
        <rFont val="Calibri"/>
        <family val="2"/>
      </rPr>
      <t>.  The items on this worksheet that pertain to heating/cooling systems must be verified with an individual worksheet for each individual system (Example- roof top, central air handler). Alternatively, the Verifier has the option to use the RESNET Sampling protocol to verify the dwelling unit heating/cooling air volume measurement criteria. 
For common spaces,Verifier shall be responsible for collecting air balance documentation for all ventilation systems, documenting the design ventilation rate and the final verified air balance rate.</t>
    </r>
  </si>
  <si>
    <t>Domestic Hot Water (DHW)  PHIUS+ On-site Quality Control- For Dwelling Units in Mixed Use Buildings Only</t>
  </si>
  <si>
    <r>
      <t xml:space="preserve">Hot water distribution temperature rise test: Highest volumetric plumbing run tested for temperature rise. No more than 0.6 Gal shall be emitted from the highest volumetric plumbing run with a temperature rise of 10 deg F. </t>
    </r>
    <r>
      <rPr>
        <b/>
        <i/>
        <sz val="12"/>
        <color theme="1"/>
        <rFont val="Calibri"/>
        <family val="2"/>
        <scheme val="minor"/>
      </rPr>
      <t>or</t>
    </r>
    <r>
      <rPr>
        <sz val="12"/>
        <color theme="1"/>
        <rFont val="Calibri"/>
        <family val="2"/>
        <scheme val="minor"/>
      </rPr>
      <t xml:space="preserve">, alternative path, with DWH meeting DOE EF/UEF requirements and Water Sense labeled faucets and shower heads installed, no more than 1.4 Gal shall be emitted from the highest volumetric plumbing run with a hot water temperature rise of 10 deg F. This test may be completed using sampling protocols as described earlier in this manual. </t>
    </r>
  </si>
  <si>
    <t xml:space="preserve">The Verifier is responsible for verifying all items on this worksheet For projects with multiple buildings that differ in their envelope configurations, please create a duplicate worksheet for each building in the project. </t>
  </si>
  <si>
    <r>
      <rPr>
        <sz val="12"/>
        <color rgb="FFFF0000"/>
        <rFont val="Calibri"/>
        <family val="2"/>
        <scheme val="minor"/>
      </rPr>
      <t>Testing shall be performed following RESNET/ANSI Standard 380-2019 and RESNET Standards for Multifamily Energy Ratings.</t>
    </r>
    <r>
      <rPr>
        <sz val="12"/>
        <color theme="1"/>
        <rFont val="Calibri"/>
        <family val="2"/>
        <scheme val="minor"/>
      </rPr>
      <t xml:space="preserve"> </t>
    </r>
  </si>
  <si>
    <t>https://www.resnet.us/wp-content/uploads/ANSIRESNETICC_380-2019_vf1.24.19_cover%5E0TOC-2.pdf</t>
  </si>
  <si>
    <t>http://www.resnet.us/wp-content/uploads/archive/resblog/2019/01/ANSIRESNETICC301-2019_vf1.23.19.pdf</t>
  </si>
  <si>
    <r>
      <t xml:space="preserve">For Mixed Use Buildings- </t>
    </r>
    <r>
      <rPr>
        <b/>
        <i/>
        <u/>
        <sz val="16"/>
        <color theme="1"/>
        <rFont val="Calibri"/>
        <family val="2"/>
        <scheme val="minor"/>
      </rPr>
      <t>all</t>
    </r>
    <r>
      <rPr>
        <b/>
        <sz val="16"/>
        <color theme="1"/>
        <rFont val="Calibri"/>
        <family val="2"/>
        <scheme val="minor"/>
      </rPr>
      <t xml:space="preserve"> items on the checklist apply to dwelling units. </t>
    </r>
  </si>
  <si>
    <r>
      <t xml:space="preserve">For Commercial, non-residential spaces all items apply </t>
    </r>
    <r>
      <rPr>
        <b/>
        <i/>
        <u/>
        <sz val="16"/>
        <color theme="1"/>
        <rFont val="Calibri"/>
        <family val="2"/>
        <scheme val="minor"/>
      </rPr>
      <t>except</t>
    </r>
    <r>
      <rPr>
        <b/>
        <sz val="16"/>
        <color theme="1"/>
        <rFont val="Calibri"/>
        <family val="2"/>
        <scheme val="minor"/>
      </rPr>
      <t xml:space="preserve"> Combustion Pollutants items 5.2, 5.3 and 5.4- follow PHIUS Guidebook for these items</t>
    </r>
  </si>
  <si>
    <t>PHIUS+ Verifier</t>
  </si>
  <si>
    <t xml:space="preserve"> HVAC Designer/Contractor, PHIUS+ Verifier</t>
  </si>
  <si>
    <r>
      <t xml:space="preserve">For Mixed Use Buildings- </t>
    </r>
    <r>
      <rPr>
        <b/>
        <i/>
        <u/>
        <sz val="16"/>
        <color theme="1"/>
        <rFont val="Calibri"/>
        <family val="2"/>
        <scheme val="minor"/>
      </rPr>
      <t>Energy Star MFNC Program Requirements must be met for all Dwelling &amp; Sleeping units</t>
    </r>
    <r>
      <rPr>
        <b/>
        <sz val="16"/>
        <color theme="1"/>
        <rFont val="Calibri"/>
        <family val="2"/>
        <scheme val="minor"/>
      </rPr>
      <t>. Dwelling &amp; Sleeping Units are to be certified under the MFNC</t>
    </r>
  </si>
  <si>
    <t>For non-residential buildings and non-residential spaces within mixed use buildings, all items in the Energy Star MFNC shall apply, but certification under the Energy Star MFNC Program is not required</t>
  </si>
  <si>
    <t>Please check the EPA Energy Star website for current version of the program documents before proceeding:</t>
  </si>
  <si>
    <t>https://www.energystar.gov/partner_resources/residential_new/homes_prog_reqs/multifamily_national_page</t>
  </si>
  <si>
    <t>PROGRAM REQUIREMENTS:</t>
  </si>
  <si>
    <t>SUPPORTING DOCUMENTS:</t>
  </si>
  <si>
    <t>Multifamily Workbook- The Energy Star MF Workbook is presented on the following worksheets for your use. Please check to see if EPA has issued any updates</t>
  </si>
  <si>
    <t>https://www.energystar.gov/sites/default/files/asset/document/ENERGY_STAR_MFNC_Photo_Documentation_Guidance.pdf</t>
  </si>
  <si>
    <t>Photo Documentation Guidance- for refernce. PHIUS encourages use of this guidance where appropriate</t>
  </si>
  <si>
    <t>NOTES RELATED TO USE OF MFNC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</si>
</sst>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0.0%"/>
    <numFmt numFmtId="165" formatCode="0.0"/>
    <numFmt numFmtId="166" formatCode="0.000"/>
    <numFmt numFmtId="167" formatCode="0.0000"/>
    <numFmt numFmtId="168" formatCode="General;General;;@"/>
  </numFmts>
  <fonts count="110"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9"/>
      <color indexed="81"/>
      <name val="Calibri"/>
      <family val="2"/>
    </font>
    <font>
      <sz val="8"/>
      <name val="Calibri"/>
      <family val="2"/>
      <scheme val="minor"/>
    </font>
    <font>
      <sz val="10"/>
      <color theme="1"/>
      <name val="Calibri"/>
      <family val="2"/>
    </font>
    <font>
      <b/>
      <sz val="10"/>
      <color theme="1"/>
      <name val="Calibri"/>
      <family val="2"/>
    </font>
    <font>
      <u/>
      <sz val="12"/>
      <color theme="10"/>
      <name val="Calibri"/>
      <family val="2"/>
      <scheme val="minor"/>
    </font>
    <font>
      <u/>
      <sz val="12"/>
      <color theme="11"/>
      <name val="Calibri"/>
      <family val="2"/>
      <scheme val="minor"/>
    </font>
    <font>
      <sz val="10"/>
      <color rgb="FF000000"/>
      <name val="Calibri"/>
      <family val="2"/>
      <scheme val="minor"/>
    </font>
    <font>
      <b/>
      <sz val="24"/>
      <color theme="1"/>
      <name val="Calibri"/>
      <family val="2"/>
    </font>
    <font>
      <sz val="9"/>
      <color indexed="81"/>
      <name val="Calibri"/>
      <family val="2"/>
    </font>
    <font>
      <sz val="10"/>
      <color theme="1"/>
      <name val="Calibri"/>
      <family val="2"/>
      <scheme val="minor"/>
    </font>
    <font>
      <b/>
      <sz val="10"/>
      <color theme="1"/>
      <name val="Calibri"/>
      <family val="2"/>
      <scheme val="minor"/>
    </font>
    <font>
      <b/>
      <sz val="12"/>
      <color theme="1"/>
      <name val="Calibri"/>
      <family val="2"/>
    </font>
    <font>
      <b/>
      <sz val="24"/>
      <color rgb="FF000000"/>
      <name val="Calibri"/>
      <family val="2"/>
      <scheme val="minor"/>
    </font>
    <font>
      <b/>
      <sz val="14"/>
      <color theme="1"/>
      <name val="Calibri"/>
      <family val="2"/>
      <scheme val="minor"/>
    </font>
    <font>
      <u/>
      <sz val="12"/>
      <color theme="1"/>
      <name val="Calibri"/>
      <family val="2"/>
      <scheme val="minor"/>
    </font>
    <font>
      <sz val="14"/>
      <color theme="1"/>
      <name val="Calibri"/>
      <family val="2"/>
      <scheme val="minor"/>
    </font>
    <font>
      <b/>
      <sz val="30"/>
      <color theme="1"/>
      <name val="Candara"/>
      <family val="2"/>
    </font>
    <font>
      <b/>
      <sz val="12"/>
      <color theme="1"/>
      <name val="Candara"/>
      <family val="2"/>
    </font>
    <font>
      <b/>
      <sz val="11"/>
      <color indexed="8"/>
      <name val="Candara"/>
      <family val="2"/>
    </font>
    <font>
      <b/>
      <sz val="11"/>
      <name val="Candara"/>
      <family val="2"/>
    </font>
    <font>
      <b/>
      <sz val="11"/>
      <color theme="1"/>
      <name val="Candara"/>
      <family val="2"/>
    </font>
    <font>
      <b/>
      <sz val="9"/>
      <color indexed="81"/>
      <name val="Tahoma"/>
      <family val="2"/>
    </font>
    <font>
      <b/>
      <sz val="12"/>
      <color theme="0"/>
      <name val="Calibri"/>
      <family val="2"/>
      <scheme val="minor"/>
    </font>
    <font>
      <b/>
      <u/>
      <sz val="12"/>
      <color theme="1"/>
      <name val="Calibri"/>
      <family val="2"/>
      <scheme val="minor"/>
    </font>
    <font>
      <sz val="9"/>
      <color indexed="81"/>
      <name val="Calibri"/>
      <family val="2"/>
      <scheme val="minor"/>
    </font>
    <font>
      <b/>
      <sz val="12"/>
      <color indexed="8"/>
      <name val="Calibri"/>
      <family val="2"/>
      <scheme val="minor"/>
    </font>
    <font>
      <b/>
      <i/>
      <sz val="12"/>
      <color theme="1"/>
      <name val="Calibri"/>
      <family val="2"/>
      <scheme val="minor"/>
    </font>
    <font>
      <i/>
      <sz val="12"/>
      <color theme="1"/>
      <name val="Calibri"/>
      <family val="2"/>
      <scheme val="minor"/>
    </font>
    <font>
      <b/>
      <sz val="12"/>
      <color rgb="FF000000"/>
      <name val="Calibri"/>
      <family val="2"/>
      <scheme val="minor"/>
    </font>
    <font>
      <sz val="12"/>
      <color theme="1"/>
      <name val="Calibri"/>
      <family val="2"/>
    </font>
    <font>
      <sz val="12"/>
      <color rgb="FF000000"/>
      <name val="Calibri"/>
      <family val="2"/>
      <scheme val="minor"/>
    </font>
    <font>
      <b/>
      <sz val="12"/>
      <color indexed="8"/>
      <name val="Calibri"/>
      <family val="2"/>
    </font>
    <font>
      <b/>
      <u/>
      <sz val="12"/>
      <color theme="1"/>
      <name val="Calibri"/>
      <family val="2"/>
    </font>
    <font>
      <b/>
      <sz val="12"/>
      <color indexed="8"/>
      <name val="Candara"/>
      <family val="2"/>
    </font>
    <font>
      <sz val="10"/>
      <color theme="0"/>
      <name val="Calibri"/>
      <family val="2"/>
    </font>
    <font>
      <b/>
      <sz val="12"/>
      <name val="Calibri"/>
      <family val="2"/>
    </font>
    <font>
      <i/>
      <sz val="12"/>
      <color theme="1"/>
      <name val="Calibri"/>
      <family val="2"/>
    </font>
    <font>
      <b/>
      <sz val="10"/>
      <color rgb="FFFF0000"/>
      <name val="Calibri"/>
      <family val="2"/>
      <scheme val="minor"/>
    </font>
    <font>
      <sz val="12"/>
      <color rgb="FFFF0000"/>
      <name val="Calibri"/>
      <family val="2"/>
      <scheme val="minor"/>
    </font>
    <font>
      <i/>
      <sz val="12"/>
      <color rgb="FFFF0000"/>
      <name val="Calibri"/>
      <family val="2"/>
    </font>
    <font>
      <sz val="9"/>
      <color indexed="81"/>
      <name val="Tahoma"/>
      <family val="2"/>
    </font>
    <font>
      <sz val="10"/>
      <color theme="0"/>
      <name val="Calibri"/>
      <family val="2"/>
      <scheme val="minor"/>
    </font>
    <font>
      <b/>
      <sz val="12"/>
      <name val="Calibri"/>
      <family val="2"/>
      <scheme val="minor"/>
    </font>
    <font>
      <b/>
      <i/>
      <sz val="16"/>
      <color theme="1"/>
      <name val="Candara"/>
      <family val="2"/>
    </font>
    <font>
      <b/>
      <sz val="9"/>
      <color rgb="FF000000"/>
      <name val="Calibri"/>
      <family val="2"/>
    </font>
    <font>
      <sz val="12"/>
      <color theme="1"/>
      <name val="Arial"/>
      <family val="2"/>
    </font>
    <font>
      <b/>
      <sz val="12"/>
      <name val="Arial"/>
      <family val="2"/>
    </font>
    <font>
      <sz val="10"/>
      <name val="Arial"/>
      <family val="2"/>
    </font>
    <font>
      <b/>
      <sz val="12"/>
      <color theme="1"/>
      <name val="Arial"/>
      <family val="2"/>
    </font>
    <font>
      <sz val="10"/>
      <color theme="1"/>
      <name val="Arial"/>
      <family val="2"/>
    </font>
    <font>
      <sz val="12"/>
      <color rgb="FFFF0000"/>
      <name val="Arial"/>
      <family val="2"/>
    </font>
    <font>
      <sz val="12"/>
      <color rgb="FF00B0F0"/>
      <name val="Arial"/>
      <family val="2"/>
    </font>
    <font>
      <sz val="12"/>
      <name val="Arial"/>
      <family val="2"/>
    </font>
    <font>
      <sz val="9"/>
      <color theme="1"/>
      <name val="Arial"/>
      <family val="2"/>
    </font>
    <font>
      <b/>
      <sz val="16"/>
      <color theme="1"/>
      <name val="Calibri"/>
      <family val="2"/>
      <scheme val="minor"/>
    </font>
    <font>
      <b/>
      <sz val="10"/>
      <color theme="1"/>
      <name val="Arial"/>
      <family val="2"/>
    </font>
    <font>
      <b/>
      <sz val="10"/>
      <color theme="0"/>
      <name val="Arial"/>
      <family val="2"/>
    </font>
    <font>
      <b/>
      <sz val="18"/>
      <color theme="1"/>
      <name val="Arial"/>
      <family val="2"/>
    </font>
    <font>
      <b/>
      <sz val="18"/>
      <color theme="0"/>
      <name val="Arial"/>
      <family val="2"/>
    </font>
    <font>
      <b/>
      <vertAlign val="superscript"/>
      <sz val="18"/>
      <color theme="0"/>
      <name val="Arial"/>
      <family val="2"/>
    </font>
    <font>
      <b/>
      <vertAlign val="superscript"/>
      <sz val="12"/>
      <name val="Arial"/>
      <family val="2"/>
    </font>
    <font>
      <sz val="12"/>
      <color theme="0"/>
      <name val="Arial"/>
      <family val="2"/>
    </font>
    <font>
      <b/>
      <sz val="16"/>
      <color theme="1"/>
      <name val="Arial"/>
      <family val="2"/>
    </font>
    <font>
      <sz val="12"/>
      <color theme="0" tint="-0.499984740745262"/>
      <name val="Arial"/>
      <family val="2"/>
    </font>
    <font>
      <vertAlign val="superscript"/>
      <sz val="12"/>
      <color theme="0" tint="-0.499984740745262"/>
      <name val="Arial"/>
      <family val="2"/>
    </font>
    <font>
      <sz val="16"/>
      <color theme="1"/>
      <name val="Arial"/>
      <family val="2"/>
    </font>
    <font>
      <sz val="12"/>
      <color rgb="FF0433FF"/>
      <name val="Arial"/>
      <family val="2"/>
    </font>
    <font>
      <vertAlign val="superscript"/>
      <sz val="12"/>
      <color theme="1"/>
      <name val="Arial"/>
      <family val="2"/>
    </font>
    <font>
      <sz val="16"/>
      <color theme="0" tint="-0.499984740745262"/>
      <name val="Arial"/>
      <family val="2"/>
    </font>
    <font>
      <sz val="16"/>
      <name val="Arial"/>
      <family val="2"/>
    </font>
    <font>
      <b/>
      <vertAlign val="superscript"/>
      <sz val="12"/>
      <color theme="1"/>
      <name val="Arial"/>
      <family val="2"/>
    </font>
    <font>
      <sz val="16"/>
      <color theme="0"/>
      <name val="Arial"/>
      <family val="2"/>
    </font>
    <font>
      <b/>
      <sz val="18"/>
      <color theme="0"/>
      <name val="Calibri"/>
      <family val="2"/>
      <scheme val="minor"/>
    </font>
    <font>
      <sz val="12"/>
      <color theme="1"/>
      <name val="Wingdings"/>
      <charset val="2"/>
    </font>
    <font>
      <vertAlign val="superscript"/>
      <sz val="12"/>
      <name val="Arial"/>
      <family val="2"/>
    </font>
    <font>
      <u/>
      <sz val="12"/>
      <color theme="1"/>
      <name val="Arial"/>
      <family val="2"/>
    </font>
    <font>
      <sz val="12"/>
      <name val="Calibri"/>
      <family val="2"/>
      <scheme val="minor"/>
    </font>
    <font>
      <sz val="8"/>
      <color theme="1"/>
      <name val="Arial"/>
      <family val="2"/>
    </font>
    <font>
      <sz val="16"/>
      <color theme="1"/>
      <name val="Calibri"/>
      <family val="2"/>
      <scheme val="minor"/>
    </font>
    <font>
      <i/>
      <sz val="12"/>
      <color theme="1"/>
      <name val="Arial"/>
      <family val="2"/>
    </font>
    <font>
      <sz val="10"/>
      <color rgb="FFFF0000"/>
      <name val="Arial"/>
      <family val="2"/>
    </font>
    <font>
      <b/>
      <sz val="10"/>
      <name val="Arial"/>
      <family val="2"/>
    </font>
    <font>
      <b/>
      <vertAlign val="superscript"/>
      <sz val="10"/>
      <color theme="1"/>
      <name val="Arial"/>
      <family val="2"/>
    </font>
    <font>
      <b/>
      <sz val="10"/>
      <color rgb="FFFF0000"/>
      <name val="Arial"/>
      <family val="2"/>
    </font>
    <font>
      <b/>
      <sz val="18"/>
      <name val="Arial"/>
      <family val="2"/>
    </font>
    <font>
      <b/>
      <sz val="10"/>
      <color rgb="FF000000"/>
      <name val="Arial"/>
      <family val="2"/>
    </font>
    <font>
      <i/>
      <sz val="10"/>
      <name val="Arial"/>
      <family val="2"/>
    </font>
    <font>
      <b/>
      <sz val="18"/>
      <color theme="1"/>
      <name val="Calibri"/>
      <family val="2"/>
      <scheme val="minor"/>
    </font>
    <font>
      <vertAlign val="subscript"/>
      <sz val="10"/>
      <name val="Arial"/>
      <family val="2"/>
    </font>
    <font>
      <vertAlign val="superscript"/>
      <sz val="10"/>
      <name val="Arial"/>
      <family val="2"/>
    </font>
    <font>
      <b/>
      <sz val="8"/>
      <name val="Arial"/>
      <family val="2"/>
    </font>
    <font>
      <b/>
      <vertAlign val="superscript"/>
      <sz val="10"/>
      <color rgb="FF000000"/>
      <name val="Arial"/>
      <family val="2"/>
    </font>
    <font>
      <vertAlign val="superscript"/>
      <sz val="10"/>
      <color rgb="FF000000"/>
      <name val="Arial"/>
      <family val="2"/>
    </font>
    <font>
      <sz val="10"/>
      <color rgb="FF000000"/>
      <name val="Arial"/>
      <family val="2"/>
    </font>
    <font>
      <b/>
      <sz val="11"/>
      <color theme="1"/>
      <name val="Arial"/>
      <family val="2"/>
    </font>
    <font>
      <sz val="11"/>
      <color theme="1"/>
      <name val="Arial"/>
      <family val="2"/>
    </font>
    <font>
      <sz val="11"/>
      <color rgb="FFFF0000"/>
      <name val="Arial"/>
      <family val="2"/>
    </font>
    <font>
      <sz val="10"/>
      <color indexed="9"/>
      <name val="Arial"/>
      <family val="2"/>
    </font>
    <font>
      <sz val="10"/>
      <color theme="0"/>
      <name val="Arial"/>
      <family val="2"/>
    </font>
    <font>
      <sz val="12"/>
      <color indexed="8"/>
      <name val="Calibri"/>
      <family val="2"/>
    </font>
    <font>
      <sz val="11"/>
      <color rgb="FF9C0006"/>
      <name val="Calibri"/>
      <family val="2"/>
      <scheme val="minor"/>
    </font>
    <font>
      <sz val="11"/>
      <name val="Calibri"/>
      <family val="2"/>
      <scheme val="minor"/>
    </font>
    <font>
      <vertAlign val="superscript"/>
      <sz val="12"/>
      <name val="Calibri"/>
      <family val="2"/>
      <scheme val="minor"/>
    </font>
    <font>
      <sz val="11"/>
      <color rgb="FF9C6500"/>
      <name val="Calibri"/>
      <family val="2"/>
      <scheme val="minor"/>
    </font>
    <font>
      <b/>
      <sz val="10"/>
      <color rgb="FF000000"/>
      <name val="Tahoma"/>
      <family val="2"/>
    </font>
    <font>
      <b/>
      <i/>
      <u/>
      <sz val="16"/>
      <color theme="1"/>
      <name val="Calibri"/>
      <family val="2"/>
      <scheme val="minor"/>
    </font>
  </fonts>
  <fills count="5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darkDown">
        <bgColor theme="0" tint="-0.249977111117893"/>
      </patternFill>
    </fill>
    <fill>
      <patternFill patternType="darkUp"/>
    </fill>
    <fill>
      <patternFill patternType="darkUp">
        <bgColor theme="0"/>
      </patternFill>
    </fill>
    <fill>
      <patternFill patternType="solid">
        <fgColor rgb="FFFFFFFF"/>
        <bgColor rgb="FF000000"/>
      </patternFill>
    </fill>
    <fill>
      <patternFill patternType="darkUp">
        <fgColor rgb="FF000000"/>
        <bgColor rgb="FFFFFFFF"/>
      </patternFill>
    </fill>
    <fill>
      <patternFill patternType="darkUp">
        <fgColor rgb="FF000000"/>
      </patternFill>
    </fill>
    <fill>
      <patternFill patternType="solid">
        <fgColor theme="5" tint="0.59999389629810485"/>
        <bgColor indexed="64"/>
      </patternFill>
    </fill>
    <fill>
      <patternFill patternType="solid">
        <fgColor rgb="FFE4A530"/>
        <bgColor indexed="64"/>
      </patternFill>
    </fill>
    <fill>
      <patternFill patternType="solid">
        <fgColor rgb="FFE3D656"/>
        <bgColor indexed="64"/>
      </patternFill>
    </fill>
    <fill>
      <patternFill patternType="solid">
        <fgColor rgb="FFE3D656"/>
        <bgColor rgb="FF000000"/>
      </patternFill>
    </fill>
    <fill>
      <patternFill patternType="solid">
        <fgColor theme="0"/>
        <bgColor rgb="FF000000"/>
      </patternFill>
    </fill>
    <fill>
      <patternFill patternType="darkUp">
        <fgColor rgb="FF000000"/>
        <bgColor auto="1"/>
      </patternFill>
    </fill>
    <fill>
      <patternFill patternType="darkUp">
        <bgColor theme="6" tint="0.59999389629810485"/>
      </patternFill>
    </fill>
    <fill>
      <patternFill patternType="darkUp">
        <bgColor theme="7" tint="0.59999389629810485"/>
      </patternFill>
    </fill>
    <fill>
      <patternFill patternType="solid">
        <fgColor rgb="FF005856"/>
        <bgColor indexed="64"/>
      </patternFill>
    </fill>
    <fill>
      <patternFill patternType="solid">
        <fgColor theme="9"/>
        <bgColor indexed="64"/>
      </patternFill>
    </fill>
    <fill>
      <patternFill patternType="solid">
        <fgColor rgb="FFFDB751"/>
        <bgColor indexed="64"/>
      </patternFill>
    </fill>
    <fill>
      <patternFill patternType="solid">
        <fgColor rgb="FFFF9933"/>
        <bgColor indexed="64"/>
      </patternFill>
    </fill>
    <fill>
      <patternFill patternType="solid">
        <fgColor rgb="FFFDA35F"/>
        <bgColor indexed="64"/>
      </patternFill>
    </fill>
    <fill>
      <patternFill patternType="solid">
        <fgColor rgb="FFFFE471"/>
        <bgColor indexed="64"/>
      </patternFill>
    </fill>
    <fill>
      <patternFill patternType="solid">
        <fgColor rgb="FFFFE471"/>
        <bgColor rgb="FF000000"/>
      </patternFill>
    </fill>
    <fill>
      <patternFill patternType="solid">
        <fgColor rgb="FFFF9933"/>
        <bgColor rgb="FF000000"/>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9"/>
      </patternFill>
    </fill>
    <fill>
      <patternFill patternType="solid">
        <fgColor theme="8" tint="0.59999389629810485"/>
        <bgColor indexed="9"/>
      </patternFill>
    </fill>
    <fill>
      <patternFill patternType="solid">
        <fgColor theme="8" tint="0.59999389629810485"/>
        <bgColor indexed="64"/>
      </patternFill>
    </fill>
    <fill>
      <patternFill patternType="solid">
        <fgColor theme="0"/>
        <bgColor indexed="9"/>
      </patternFill>
    </fill>
    <fill>
      <patternFill patternType="solid">
        <fgColor theme="7" tint="0.79998168889431442"/>
        <bgColor indexed="9"/>
      </patternFill>
    </fill>
    <fill>
      <patternFill patternType="solid">
        <fgColor theme="6" tint="0.59999389629810485"/>
        <bgColor indexed="9"/>
      </patternFill>
    </fill>
    <fill>
      <patternFill patternType="solid">
        <fgColor theme="7" tint="0.59999389629810485"/>
        <bgColor indexed="9"/>
      </patternFill>
    </fill>
    <fill>
      <patternFill patternType="solid">
        <fgColor rgb="FFA6A6A6"/>
        <bgColor indexed="64"/>
      </patternFill>
    </fill>
    <fill>
      <patternFill patternType="solid">
        <fgColor rgb="FFDBE5F1"/>
        <bgColor indexed="64"/>
      </patternFill>
    </fill>
    <fill>
      <patternFill patternType="solid">
        <fgColor theme="5" tint="0.79998168889431442"/>
        <bgColor indexed="9"/>
      </patternFill>
    </fill>
    <fill>
      <patternFill patternType="solid">
        <fgColor theme="6" tint="0.39997558519241921"/>
        <bgColor indexed="9"/>
      </patternFill>
    </fill>
    <fill>
      <patternFill patternType="solid">
        <fgColor theme="5" tint="0.59999389629810485"/>
        <bgColor indexed="9"/>
      </patternFill>
    </fill>
    <fill>
      <patternFill patternType="solid">
        <fgColor theme="5" tint="0.79998168889431442"/>
        <bgColor rgb="FF000000"/>
      </patternFill>
    </fill>
    <fill>
      <patternFill patternType="solid">
        <fgColor rgb="FFFFFF00"/>
        <bgColor indexed="64"/>
      </patternFill>
    </fill>
    <fill>
      <patternFill patternType="solid">
        <fgColor rgb="FFFFCC00"/>
        <bgColor indexed="64"/>
      </patternFill>
    </fill>
    <fill>
      <patternFill patternType="solid">
        <fgColor rgb="FFFDDD69"/>
        <bgColor indexed="64"/>
      </patternFill>
    </fill>
    <fill>
      <patternFill patternType="solid">
        <fgColor rgb="FFFF9966"/>
        <bgColor indexed="64"/>
      </patternFill>
    </fill>
  </fills>
  <borders count="9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bottom style="thin">
        <color auto="1"/>
      </bottom>
      <diagonal/>
    </border>
    <border>
      <left style="medium">
        <color indexed="64"/>
      </left>
      <right style="medium">
        <color indexed="64"/>
      </right>
      <top/>
      <bottom/>
      <diagonal/>
    </border>
    <border>
      <left/>
      <right style="medium">
        <color indexed="64"/>
      </right>
      <top style="thin">
        <color auto="1"/>
      </top>
      <bottom/>
      <diagonal/>
    </border>
    <border>
      <left style="thin">
        <color auto="1"/>
      </left>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style="medium">
        <color indexed="64"/>
      </bottom>
      <diagonal/>
    </border>
    <border>
      <left/>
      <right/>
      <top style="thin">
        <color theme="1"/>
      </top>
      <bottom/>
      <diagonal/>
    </border>
    <border>
      <left style="medium">
        <color indexed="64"/>
      </left>
      <right style="medium">
        <color indexed="64"/>
      </right>
      <top style="thin">
        <color theme="1"/>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thin">
        <color auto="1"/>
      </top>
      <bottom/>
      <diagonal/>
    </border>
    <border>
      <left style="medium">
        <color indexed="64"/>
      </left>
      <right style="medium">
        <color indexed="64"/>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rgb="FF6D6E6A"/>
      </bottom>
      <diagonal/>
    </border>
    <border>
      <left/>
      <right style="medium">
        <color indexed="64"/>
      </right>
      <top style="medium">
        <color indexed="64"/>
      </top>
      <bottom style="thin">
        <color rgb="FF6D6E6A"/>
      </bottom>
      <diagonal/>
    </border>
    <border>
      <left/>
      <right style="medium">
        <color indexed="64"/>
      </right>
      <top style="thin">
        <color rgb="FF6D6E6A"/>
      </top>
      <bottom style="thin">
        <color rgb="FF6D6E6A"/>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ashDot">
        <color auto="1"/>
      </right>
      <top style="thin">
        <color indexed="64"/>
      </top>
      <bottom style="thin">
        <color indexed="64"/>
      </bottom>
      <diagonal/>
    </border>
    <border>
      <left style="thin">
        <color indexed="64"/>
      </left>
      <right style="dashDot">
        <color auto="1"/>
      </right>
      <top style="thin">
        <color indexed="64"/>
      </top>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right style="thin">
        <color indexed="64"/>
      </right>
      <top/>
      <bottom style="medium">
        <color rgb="FF000000"/>
      </bottom>
      <diagonal/>
    </border>
    <border>
      <left style="thin">
        <color indexed="64"/>
      </left>
      <right/>
      <top style="medium">
        <color indexed="64"/>
      </top>
      <bottom style="thin">
        <color theme="6"/>
      </bottom>
      <diagonal/>
    </border>
    <border>
      <left style="thin">
        <color indexed="64"/>
      </left>
      <right style="thin">
        <color indexed="64"/>
      </right>
      <top/>
      <bottom style="medium">
        <color rgb="FF000000"/>
      </bottom>
      <diagonal/>
    </border>
    <border>
      <left/>
      <right/>
      <top/>
      <bottom style="thin">
        <color theme="6"/>
      </bottom>
      <diagonal/>
    </border>
  </borders>
  <cellStyleXfs count="1478">
    <xf numFmtId="0" fontId="0" fillId="0" borderId="0"/>
    <xf numFmtId="43"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103" fillId="0" borderId="0"/>
    <xf numFmtId="0" fontId="104" fillId="26" borderId="0" applyNumberFormat="0" applyBorder="0" applyAlignment="0" applyProtection="0"/>
    <xf numFmtId="0" fontId="107" fillId="27" borderId="0" applyNumberFormat="0" applyBorder="0" applyAlignment="0" applyProtection="0"/>
  </cellStyleXfs>
  <cellXfs count="1955">
    <xf numFmtId="0" fontId="0" fillId="0" borderId="0" xfId="0"/>
    <xf numFmtId="0" fontId="0" fillId="2" borderId="0" xfId="0" applyFill="1"/>
    <xf numFmtId="0" fontId="6" fillId="0" borderId="0" xfId="0" applyFont="1"/>
    <xf numFmtId="0" fontId="7" fillId="0" borderId="0" xfId="0" applyFont="1"/>
    <xf numFmtId="0" fontId="6" fillId="0" borderId="0" xfId="0" applyFont="1" applyAlignment="1">
      <alignment wrapText="1"/>
    </xf>
    <xf numFmtId="0" fontId="6" fillId="2" borderId="0" xfId="0" applyFont="1" applyFill="1"/>
    <xf numFmtId="0" fontId="6" fillId="2" borderId="0" xfId="0" applyFont="1" applyFill="1" applyAlignment="1">
      <alignment wrapText="1"/>
    </xf>
    <xf numFmtId="0" fontId="6" fillId="2" borderId="0" xfId="0" applyFont="1" applyFill="1" applyAlignment="1">
      <alignment horizontal="center" vertical="center"/>
    </xf>
    <xf numFmtId="0" fontId="7" fillId="2" borderId="0" xfId="0" applyFont="1" applyFill="1" applyBorder="1" applyAlignment="1">
      <alignment horizontal="center" vertical="center"/>
    </xf>
    <xf numFmtId="0" fontId="7" fillId="2" borderId="0" xfId="0" applyFont="1" applyFill="1"/>
    <xf numFmtId="0" fontId="7" fillId="2" borderId="0" xfId="0" applyFont="1" applyFill="1" applyAlignment="1"/>
    <xf numFmtId="0" fontId="0" fillId="0" borderId="0" xfId="0" applyAlignment="1"/>
    <xf numFmtId="0" fontId="11" fillId="2" borderId="0" xfId="0" applyFont="1" applyFill="1" applyBorder="1" applyAlignment="1"/>
    <xf numFmtId="0" fontId="11" fillId="2" borderId="0" xfId="0" applyFont="1" applyFill="1" applyBorder="1" applyAlignment="1">
      <alignment horizontal="center"/>
    </xf>
    <xf numFmtId="0" fontId="13" fillId="0" borderId="0" xfId="0" applyFont="1"/>
    <xf numFmtId="0" fontId="14" fillId="0" borderId="0" xfId="0" applyFont="1"/>
    <xf numFmtId="0" fontId="0" fillId="0" borderId="0" xfId="0" applyBorder="1"/>
    <xf numFmtId="0" fontId="0" fillId="2" borderId="0" xfId="0" applyFill="1" applyBorder="1"/>
    <xf numFmtId="0" fontId="7" fillId="2" borderId="0" xfId="0" applyFont="1" applyFill="1" applyBorder="1"/>
    <xf numFmtId="0" fontId="6" fillId="0" borderId="0" xfId="0" applyFont="1" applyAlignment="1">
      <alignment horizontal="center"/>
    </xf>
    <xf numFmtId="0" fontId="0" fillId="0" borderId="0" xfId="0" applyBorder="1" applyAlignment="1"/>
    <xf numFmtId="0" fontId="3" fillId="0" borderId="0" xfId="0" applyFont="1" applyBorder="1" applyAlignment="1">
      <alignment horizontal="center" vertical="center"/>
    </xf>
    <xf numFmtId="0" fontId="17" fillId="0" borderId="0" xfId="0" applyFont="1"/>
    <xf numFmtId="0" fontId="15" fillId="2" borderId="0" xfId="0" applyFont="1" applyFill="1" applyBorder="1" applyAlignment="1">
      <alignment horizontal="center" vertical="center"/>
    </xf>
    <xf numFmtId="0" fontId="13" fillId="0" borderId="0" xfId="0" applyFont="1" applyAlignment="1">
      <alignment horizontal="center" vertical="center"/>
    </xf>
    <xf numFmtId="0" fontId="13" fillId="2" borderId="0" xfId="0" applyFont="1" applyFill="1"/>
    <xf numFmtId="0" fontId="13" fillId="2" borderId="0" xfId="0" applyFont="1" applyFill="1" applyAlignment="1">
      <alignment horizontal="center" vertical="center"/>
    </xf>
    <xf numFmtId="0" fontId="13" fillId="0" borderId="0" xfId="0" applyFont="1" applyAlignment="1">
      <alignment wrapText="1"/>
    </xf>
    <xf numFmtId="0" fontId="6" fillId="2" borderId="0" xfId="0" applyFont="1" applyFill="1" applyAlignment="1"/>
    <xf numFmtId="0" fontId="6" fillId="2" borderId="0" xfId="0" applyFont="1" applyFill="1" applyAlignment="1">
      <alignment horizontal="center"/>
    </xf>
    <xf numFmtId="0" fontId="15" fillId="10" borderId="1" xfId="0" applyFont="1" applyFill="1" applyBorder="1" applyAlignment="1">
      <alignment horizontal="center"/>
    </xf>
    <xf numFmtId="0" fontId="3" fillId="0" borderId="0" xfId="0" applyFont="1" applyFill="1"/>
    <xf numFmtId="0" fontId="11" fillId="0" borderId="0" xfId="0" applyFont="1" applyFill="1" applyBorder="1" applyAlignment="1">
      <alignment horizontal="left"/>
    </xf>
    <xf numFmtId="0" fontId="7" fillId="0" borderId="0" xfId="0" applyFont="1" applyFill="1"/>
    <xf numFmtId="0" fontId="6" fillId="2" borderId="0" xfId="0" applyFont="1" applyFill="1" applyBorder="1"/>
    <xf numFmtId="0" fontId="21" fillId="2" borderId="0" xfId="0" applyFont="1" applyFill="1" applyBorder="1"/>
    <xf numFmtId="0" fontId="26" fillId="0" borderId="0" xfId="0" applyFont="1" applyBorder="1"/>
    <xf numFmtId="0" fontId="0" fillId="2" borderId="0" xfId="0" applyFill="1" applyBorder="1" applyAlignment="1">
      <alignment horizontal="left"/>
    </xf>
    <xf numFmtId="0" fontId="0" fillId="0" borderId="0" xfId="0" applyFont="1"/>
    <xf numFmtId="0" fontId="29" fillId="2" borderId="1" xfId="0" applyFont="1" applyFill="1" applyBorder="1" applyAlignment="1">
      <alignment horizontal="center" vertical="center"/>
    </xf>
    <xf numFmtId="0" fontId="29" fillId="0" borderId="0" xfId="0" applyFont="1" applyFill="1" applyBorder="1" applyAlignment="1">
      <alignment wrapText="1"/>
    </xf>
    <xf numFmtId="0" fontId="29" fillId="2" borderId="1" xfId="0" applyFont="1" applyFill="1" applyBorder="1" applyAlignment="1">
      <alignment horizontal="center" vertical="center" wrapText="1"/>
    </xf>
    <xf numFmtId="0" fontId="0" fillId="2" borderId="0" xfId="0" applyFont="1" applyFill="1" applyBorder="1"/>
    <xf numFmtId="0" fontId="29" fillId="2" borderId="0" xfId="0" applyFont="1" applyFill="1" applyBorder="1" applyAlignment="1">
      <alignment horizontal="center" vertical="center"/>
    </xf>
    <xf numFmtId="43" fontId="29" fillId="2" borderId="0" xfId="1" applyFont="1" applyFill="1" applyBorder="1" applyAlignment="1">
      <alignment horizontal="center" vertical="center"/>
    </xf>
    <xf numFmtId="2" fontId="29" fillId="2" borderId="0" xfId="0" applyNumberFormat="1" applyFont="1" applyFill="1" applyBorder="1" applyAlignment="1">
      <alignment horizontal="center" vertical="center"/>
    </xf>
    <xf numFmtId="0" fontId="29" fillId="2" borderId="8" xfId="0" applyFont="1" applyFill="1" applyBorder="1" applyAlignment="1">
      <alignment horizontal="center"/>
    </xf>
    <xf numFmtId="0" fontId="29" fillId="2" borderId="8" xfId="0" applyFont="1" applyFill="1" applyBorder="1" applyAlignment="1"/>
    <xf numFmtId="0" fontId="0" fillId="2" borderId="36" xfId="0" applyFill="1" applyBorder="1"/>
    <xf numFmtId="0" fontId="3" fillId="2" borderId="33" xfId="0" applyFont="1" applyFill="1" applyBorder="1"/>
    <xf numFmtId="0" fontId="3"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center" vertical="center"/>
    </xf>
    <xf numFmtId="0" fontId="0" fillId="2" borderId="37" xfId="0" applyFont="1" applyFill="1" applyBorder="1"/>
    <xf numFmtId="0" fontId="3" fillId="11" borderId="18" xfId="0" applyFont="1" applyFill="1" applyBorder="1" applyAlignment="1">
      <alignment horizontal="center" vertical="center"/>
    </xf>
    <xf numFmtId="0" fontId="0" fillId="0" borderId="0" xfId="0" applyFont="1" applyBorder="1"/>
    <xf numFmtId="0" fontId="0" fillId="2" borderId="0" xfId="0" applyFont="1" applyFill="1" applyBorder="1" applyAlignment="1">
      <alignment horizontal="left"/>
    </xf>
    <xf numFmtId="0" fontId="29" fillId="2" borderId="0" xfId="0" applyFont="1" applyFill="1" applyBorder="1" applyAlignment="1">
      <alignment horizontal="center"/>
    </xf>
    <xf numFmtId="0" fontId="0" fillId="18" borderId="34" xfId="0" applyFill="1" applyBorder="1"/>
    <xf numFmtId="0" fontId="0" fillId="18" borderId="35" xfId="0" applyFill="1" applyBorder="1"/>
    <xf numFmtId="0" fontId="0" fillId="18" borderId="36" xfId="0" applyFill="1" applyBorder="1"/>
    <xf numFmtId="0" fontId="0" fillId="18" borderId="33" xfId="0" applyFill="1" applyBorder="1"/>
    <xf numFmtId="0" fontId="0" fillId="18" borderId="37" xfId="0" applyFill="1" applyBorder="1"/>
    <xf numFmtId="0" fontId="0" fillId="18" borderId="30" xfId="0" applyFill="1" applyBorder="1"/>
    <xf numFmtId="0" fontId="14" fillId="18" borderId="31" xfId="0" applyFont="1" applyFill="1" applyBorder="1"/>
    <xf numFmtId="0" fontId="13" fillId="18" borderId="31" xfId="0" applyFont="1" applyFill="1" applyBorder="1" applyAlignment="1">
      <alignment wrapText="1"/>
    </xf>
    <xf numFmtId="0" fontId="13" fillId="18" borderId="31" xfId="0" applyFont="1" applyFill="1" applyBorder="1"/>
    <xf numFmtId="0" fontId="13" fillId="18" borderId="31" xfId="0" applyFont="1" applyFill="1" applyBorder="1" applyAlignment="1">
      <alignment horizontal="center" vertical="center"/>
    </xf>
    <xf numFmtId="0" fontId="0" fillId="18" borderId="31" xfId="0" applyFill="1" applyBorder="1"/>
    <xf numFmtId="0" fontId="0" fillId="18" borderId="32" xfId="0" applyFill="1" applyBorder="1"/>
    <xf numFmtId="0" fontId="0" fillId="2" borderId="33" xfId="0" applyFill="1" applyBorder="1"/>
    <xf numFmtId="0" fontId="0" fillId="2" borderId="37" xfId="0" applyFill="1" applyBorder="1"/>
    <xf numFmtId="0" fontId="32" fillId="13" borderId="1" xfId="0" applyFont="1" applyFill="1" applyBorder="1" applyAlignment="1">
      <alignment horizontal="center" vertical="center" wrapText="1"/>
    </xf>
    <xf numFmtId="0" fontId="32" fillId="13" borderId="2" xfId="0" applyFont="1" applyFill="1" applyBorder="1" applyAlignment="1">
      <alignment horizontal="center" vertical="center" wrapText="1"/>
    </xf>
    <xf numFmtId="0" fontId="32" fillId="7" borderId="2" xfId="0" applyFont="1" applyFill="1" applyBorder="1" applyAlignment="1">
      <alignment horizontal="center" vertical="center"/>
    </xf>
    <xf numFmtId="0" fontId="15" fillId="11" borderId="1" xfId="0" applyFont="1" applyFill="1" applyBorder="1"/>
    <xf numFmtId="0" fontId="32" fillId="7" borderId="9" xfId="0" applyFont="1" applyFill="1" applyBorder="1" applyAlignment="1">
      <alignment horizontal="center" vertical="center"/>
    </xf>
    <xf numFmtId="0" fontId="32" fillId="8" borderId="9" xfId="0" applyFont="1" applyFill="1" applyBorder="1" applyAlignment="1">
      <alignment horizontal="center" vertical="center"/>
    </xf>
    <xf numFmtId="0" fontId="15" fillId="11" borderId="1" xfId="0" applyFont="1" applyFill="1" applyBorder="1" applyAlignment="1">
      <alignment horizontal="center"/>
    </xf>
    <xf numFmtId="0" fontId="32" fillId="13" borderId="2" xfId="0" applyFont="1" applyFill="1" applyBorder="1" applyAlignment="1">
      <alignment horizontal="center" vertical="center"/>
    </xf>
    <xf numFmtId="9" fontId="34" fillId="9" borderId="1" xfId="0" applyNumberFormat="1" applyFont="1" applyFill="1" applyBorder="1" applyAlignment="1">
      <alignment horizontal="center"/>
    </xf>
    <xf numFmtId="0" fontId="34" fillId="9" borderId="1" xfId="0" applyFont="1" applyFill="1" applyBorder="1"/>
    <xf numFmtId="9" fontId="34" fillId="9" borderId="1" xfId="0" applyNumberFormat="1" applyFont="1" applyFill="1" applyBorder="1"/>
    <xf numFmtId="9" fontId="32" fillId="15" borderId="9" xfId="0" applyNumberFormat="1" applyFont="1" applyFill="1" applyBorder="1"/>
    <xf numFmtId="0" fontId="32" fillId="15" borderId="9" xfId="0" applyFont="1" applyFill="1" applyBorder="1" applyAlignment="1">
      <alignment horizontal="center"/>
    </xf>
    <xf numFmtId="1" fontId="32" fillId="15" borderId="9" xfId="0" applyNumberFormat="1" applyFont="1" applyFill="1" applyBorder="1" applyAlignment="1">
      <alignment horizontal="center"/>
    </xf>
    <xf numFmtId="9" fontId="34" fillId="9" borderId="9" xfId="0" applyNumberFormat="1" applyFont="1" applyFill="1" applyBorder="1"/>
    <xf numFmtId="0" fontId="34" fillId="9" borderId="9" xfId="0" applyFont="1" applyFill="1" applyBorder="1" applyAlignment="1">
      <alignment horizontal="center"/>
    </xf>
    <xf numFmtId="0" fontId="32" fillId="9" borderId="9" xfId="0" applyFont="1" applyFill="1" applyBorder="1" applyAlignment="1">
      <alignment horizontal="center"/>
    </xf>
    <xf numFmtId="9" fontId="34" fillId="9" borderId="9" xfId="0" applyNumberFormat="1" applyFont="1" applyFill="1" applyBorder="1" applyAlignment="1">
      <alignment horizontal="center"/>
    </xf>
    <xf numFmtId="0" fontId="34" fillId="9" borderId="9" xfId="0" applyFont="1" applyFill="1" applyBorder="1"/>
    <xf numFmtId="0" fontId="34" fillId="9" borderId="3" xfId="0" applyFont="1" applyFill="1" applyBorder="1"/>
    <xf numFmtId="0" fontId="32" fillId="0" borderId="9" xfId="0" applyFont="1" applyBorder="1" applyAlignment="1">
      <alignment horizontal="center" vertical="center"/>
    </xf>
    <xf numFmtId="0" fontId="15" fillId="11" borderId="1" xfId="0" applyFont="1" applyFill="1" applyBorder="1" applyAlignment="1">
      <alignment horizontal="left"/>
    </xf>
    <xf numFmtId="0" fontId="34" fillId="0" borderId="1" xfId="0" applyFont="1" applyBorder="1"/>
    <xf numFmtId="0" fontId="10" fillId="0" borderId="1" xfId="0" applyFont="1" applyBorder="1" applyAlignment="1">
      <alignment horizontal="center"/>
    </xf>
    <xf numFmtId="0" fontId="10" fillId="0" borderId="1" xfId="0" applyFont="1" applyBorder="1"/>
    <xf numFmtId="0" fontId="7" fillId="2" borderId="33" xfId="0" applyFont="1" applyFill="1" applyBorder="1"/>
    <xf numFmtId="0" fontId="10" fillId="14" borderId="0" xfId="0" applyFont="1" applyFill="1" applyBorder="1" applyAlignment="1">
      <alignment wrapText="1"/>
    </xf>
    <xf numFmtId="0" fontId="10" fillId="14" borderId="0" xfId="0" applyFont="1" applyFill="1" applyBorder="1"/>
    <xf numFmtId="0" fontId="10" fillId="14" borderId="0" xfId="0" applyFont="1" applyFill="1" applyBorder="1" applyAlignment="1">
      <alignment horizontal="center" vertical="center"/>
    </xf>
    <xf numFmtId="0" fontId="10" fillId="2" borderId="0" xfId="0" applyFont="1" applyFill="1" applyBorder="1" applyAlignment="1">
      <alignment horizontal="center"/>
    </xf>
    <xf numFmtId="0" fontId="10" fillId="2" borderId="0" xfId="0" applyFont="1" applyFill="1" applyBorder="1"/>
    <xf numFmtId="0" fontId="15" fillId="11" borderId="18" xfId="0" applyFont="1" applyFill="1" applyBorder="1" applyAlignment="1">
      <alignment horizontal="center" vertical="center"/>
    </xf>
    <xf numFmtId="0" fontId="15" fillId="11" borderId="18" xfId="0" applyFont="1" applyFill="1" applyBorder="1" applyAlignment="1">
      <alignment horizontal="right"/>
    </xf>
    <xf numFmtId="0" fontId="15" fillId="11" borderId="18" xfId="0" applyFont="1" applyFill="1" applyBorder="1"/>
    <xf numFmtId="0" fontId="15" fillId="11" borderId="18" xfId="0" quotePrefix="1" applyFont="1" applyFill="1" applyBorder="1" applyAlignment="1">
      <alignment horizontal="right"/>
    </xf>
    <xf numFmtId="2" fontId="15" fillId="11" borderId="18" xfId="0" quotePrefix="1" applyNumberFormat="1" applyFont="1" applyFill="1" applyBorder="1" applyAlignment="1">
      <alignment horizontal="right"/>
    </xf>
    <xf numFmtId="0" fontId="15" fillId="0" borderId="33" xfId="0" applyFont="1" applyBorder="1"/>
    <xf numFmtId="0" fontId="33" fillId="0" borderId="0" xfId="0" applyFont="1" applyBorder="1"/>
    <xf numFmtId="0" fontId="34" fillId="0" borderId="0" xfId="0" applyFont="1" applyBorder="1" applyAlignment="1">
      <alignment wrapText="1"/>
    </xf>
    <xf numFmtId="0" fontId="34" fillId="0" borderId="0" xfId="0" applyFont="1" applyBorder="1"/>
    <xf numFmtId="0" fontId="34" fillId="0" borderId="0" xfId="0" applyFont="1" applyBorder="1" applyAlignment="1">
      <alignment horizontal="center" vertical="center"/>
    </xf>
    <xf numFmtId="0" fontId="34" fillId="0" borderId="0" xfId="0" applyFont="1" applyBorder="1" applyAlignment="1">
      <alignment horizontal="center"/>
    </xf>
    <xf numFmtId="0" fontId="15" fillId="11" borderId="18" xfId="0" applyFont="1" applyFill="1" applyBorder="1" applyAlignment="1">
      <alignment horizontal="right" vertical="center"/>
    </xf>
    <xf numFmtId="0" fontId="15" fillId="2" borderId="33" xfId="0" applyFont="1" applyFill="1" applyBorder="1" applyAlignment="1">
      <alignment horizontal="right" vertical="center"/>
    </xf>
    <xf numFmtId="0" fontId="33" fillId="2" borderId="0" xfId="0" applyFont="1" applyFill="1" applyBorder="1" applyAlignment="1"/>
    <xf numFmtId="0" fontId="33" fillId="2" borderId="0" xfId="0" applyFont="1" applyFill="1" applyBorder="1"/>
    <xf numFmtId="0" fontId="34" fillId="2" borderId="0" xfId="0" applyFont="1" applyFill="1" applyBorder="1"/>
    <xf numFmtId="164" fontId="34" fillId="2" borderId="0" xfId="0" applyNumberFormat="1" applyFont="1" applyFill="1" applyBorder="1"/>
    <xf numFmtId="9" fontId="34" fillId="2" borderId="0" xfId="0" applyNumberFormat="1" applyFont="1" applyFill="1" applyBorder="1"/>
    <xf numFmtId="0" fontId="34" fillId="2" borderId="0" xfId="0" applyFont="1" applyFill="1" applyBorder="1" applyAlignment="1">
      <alignment horizontal="center"/>
    </xf>
    <xf numFmtId="0" fontId="33" fillId="9" borderId="0" xfId="0" applyFont="1" applyFill="1" applyBorder="1"/>
    <xf numFmtId="0" fontId="15" fillId="11" borderId="18" xfId="0" quotePrefix="1" applyFont="1" applyFill="1" applyBorder="1" applyAlignment="1">
      <alignment horizontal="right" vertical="center"/>
    </xf>
    <xf numFmtId="0" fontId="15" fillId="2" borderId="33" xfId="0" applyFont="1" applyFill="1" applyBorder="1"/>
    <xf numFmtId="0" fontId="15" fillId="2" borderId="0" xfId="0" applyFont="1" applyFill="1" applyBorder="1" applyAlignment="1">
      <alignment horizontal="left"/>
    </xf>
    <xf numFmtId="0" fontId="33" fillId="2" borderId="0" xfId="0" applyFont="1" applyFill="1" applyBorder="1" applyAlignment="1">
      <alignment horizontal="left"/>
    </xf>
    <xf numFmtId="0" fontId="34" fillId="2" borderId="0" xfId="0" applyFont="1" applyFill="1" applyBorder="1" applyAlignment="1">
      <alignment wrapText="1"/>
    </xf>
    <xf numFmtId="0" fontId="34" fillId="2" borderId="0" xfId="0" applyFont="1" applyFill="1" applyBorder="1" applyAlignment="1">
      <alignment horizontal="center" vertical="center"/>
    </xf>
    <xf numFmtId="0" fontId="7" fillId="0" borderId="33" xfId="0" applyFont="1" applyBorder="1"/>
    <xf numFmtId="0" fontId="7" fillId="0" borderId="0" xfId="0" applyFont="1" applyBorder="1"/>
    <xf numFmtId="0" fontId="6" fillId="0" borderId="0" xfId="0" applyFont="1" applyBorder="1"/>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center"/>
    </xf>
    <xf numFmtId="0" fontId="7" fillId="0" borderId="30" xfId="0" applyFont="1" applyBorder="1"/>
    <xf numFmtId="0" fontId="7" fillId="0" borderId="31" xfId="0" applyFont="1" applyBorder="1"/>
    <xf numFmtId="0" fontId="0" fillId="0" borderId="31" xfId="0" applyBorder="1"/>
    <xf numFmtId="0" fontId="6" fillId="0" borderId="31" xfId="0" applyFont="1" applyBorder="1"/>
    <xf numFmtId="0" fontId="6" fillId="0" borderId="31" xfId="0" applyFont="1" applyBorder="1" applyAlignment="1">
      <alignment wrapText="1"/>
    </xf>
    <xf numFmtId="0" fontId="0" fillId="18" borderId="45" xfId="0" applyFill="1" applyBorder="1"/>
    <xf numFmtId="0" fontId="0" fillId="2" borderId="0" xfId="0" applyFill="1" applyBorder="1" applyAlignment="1">
      <alignment horizontal="left"/>
    </xf>
    <xf numFmtId="0" fontId="0" fillId="2" borderId="5" xfId="0" applyFont="1" applyFill="1" applyBorder="1" applyAlignment="1">
      <alignment horizontal="right" vertical="center" wrapText="1"/>
    </xf>
    <xf numFmtId="0" fontId="0" fillId="2" borderId="6"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15" fillId="12" borderId="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Fill="1" applyBorder="1"/>
    <xf numFmtId="0" fontId="22" fillId="23" borderId="1" xfId="0" applyFont="1" applyFill="1" applyBorder="1" applyAlignment="1" applyProtection="1">
      <alignment horizontal="center" vertical="center"/>
      <protection locked="0"/>
    </xf>
    <xf numFmtId="0" fontId="22" fillId="23" borderId="1" xfId="0" quotePrefix="1" applyFont="1" applyFill="1" applyBorder="1" applyAlignment="1" applyProtection="1">
      <alignment horizontal="center" vertical="center"/>
      <protection locked="0"/>
    </xf>
    <xf numFmtId="0" fontId="22" fillId="23" borderId="19" xfId="0" quotePrefix="1" applyFont="1" applyFill="1" applyBorder="1" applyAlignment="1" applyProtection="1">
      <alignment horizontal="center" vertical="center"/>
      <protection locked="0"/>
    </xf>
    <xf numFmtId="0" fontId="23" fillId="23" borderId="1" xfId="0" applyFont="1" applyFill="1" applyBorder="1" applyAlignment="1" applyProtection="1">
      <alignment horizontal="center" vertical="center"/>
      <protection locked="0"/>
    </xf>
    <xf numFmtId="0" fontId="24" fillId="23" borderId="19" xfId="0" applyFont="1" applyFill="1" applyBorder="1" applyAlignment="1" applyProtection="1">
      <alignment horizontal="center" vertical="center"/>
      <protection locked="0"/>
    </xf>
    <xf numFmtId="0" fontId="24" fillId="23" borderId="1" xfId="0" applyFont="1" applyFill="1" applyBorder="1" applyAlignment="1" applyProtection="1">
      <alignment horizontal="center" vertical="center"/>
      <protection locked="0"/>
    </xf>
    <xf numFmtId="0" fontId="24" fillId="23" borderId="20" xfId="0" applyFont="1" applyFill="1" applyBorder="1" applyAlignment="1" applyProtection="1">
      <alignment horizontal="center" vertical="center"/>
      <protection locked="0"/>
    </xf>
    <xf numFmtId="0" fontId="24" fillId="23" borderId="21" xfId="0" applyFont="1" applyFill="1" applyBorder="1" applyAlignment="1" applyProtection="1">
      <alignment horizontal="center" vertical="center"/>
      <protection locked="0"/>
    </xf>
    <xf numFmtId="0" fontId="22" fillId="23" borderId="21" xfId="0" applyFont="1" applyFill="1" applyBorder="1" applyAlignment="1" applyProtection="1">
      <alignment horizontal="center" vertical="center"/>
      <protection locked="0"/>
    </xf>
    <xf numFmtId="0" fontId="0" fillId="2" borderId="2" xfId="0" applyFont="1" applyFill="1" applyBorder="1" applyAlignment="1">
      <alignment vertical="center" wrapText="1"/>
    </xf>
    <xf numFmtId="0" fontId="3" fillId="11" borderId="1" xfId="0" applyFont="1" applyFill="1" applyBorder="1" applyAlignment="1">
      <alignment horizontal="center" vertical="center"/>
    </xf>
    <xf numFmtId="0" fontId="29" fillId="23" borderId="1" xfId="0" applyFont="1" applyFill="1" applyBorder="1" applyAlignment="1">
      <alignment horizontal="center" vertical="center"/>
    </xf>
    <xf numFmtId="167" fontId="29" fillId="22" borderId="1" xfId="0" applyNumberFormat="1" applyFont="1" applyFill="1" applyBorder="1" applyAlignment="1">
      <alignment horizontal="center" vertical="center"/>
    </xf>
    <xf numFmtId="43" fontId="29" fillId="22" borderId="1" xfId="1" applyFont="1" applyFill="1" applyBorder="1" applyAlignment="1">
      <alignment horizontal="center" vertical="center"/>
    </xf>
    <xf numFmtId="2" fontId="29" fillId="22" borderId="1" xfId="0" applyNumberFormat="1" applyFont="1" applyFill="1" applyBorder="1" applyAlignment="1">
      <alignment horizontal="center" vertical="center"/>
    </xf>
    <xf numFmtId="166" fontId="29" fillId="22" borderId="1" xfId="0" applyNumberFormat="1" applyFont="1" applyFill="1" applyBorder="1" applyAlignment="1">
      <alignment horizontal="center" vertical="center"/>
    </xf>
    <xf numFmtId="0" fontId="37" fillId="20" borderId="14" xfId="0" quotePrefix="1" applyFont="1" applyFill="1" applyBorder="1" applyAlignment="1" applyProtection="1">
      <alignment horizontal="center" vertical="center" wrapText="1"/>
    </xf>
    <xf numFmtId="0" fontId="37" fillId="20" borderId="14" xfId="0" applyFont="1" applyFill="1" applyBorder="1" applyAlignment="1" applyProtection="1">
      <alignment horizontal="center" vertical="center"/>
    </xf>
    <xf numFmtId="0" fontId="37" fillId="20" borderId="15" xfId="0" applyFont="1" applyFill="1" applyBorder="1" applyAlignment="1" applyProtection="1">
      <alignment horizontal="center" vertical="center"/>
    </xf>
    <xf numFmtId="0" fontId="37" fillId="20" borderId="1" xfId="0" applyFont="1" applyFill="1" applyBorder="1" applyAlignment="1" applyProtection="1">
      <alignment horizontal="center" vertical="center"/>
    </xf>
    <xf numFmtId="0" fontId="37" fillId="20" borderId="19" xfId="0" applyFont="1" applyFill="1" applyBorder="1" applyAlignment="1" applyProtection="1">
      <alignment horizontal="center" vertical="center" wrapText="1"/>
    </xf>
    <xf numFmtId="0" fontId="37" fillId="20" borderId="1" xfId="0" applyFont="1" applyFill="1" applyBorder="1" applyAlignment="1" applyProtection="1">
      <alignment horizontal="center" vertical="center" wrapText="1"/>
    </xf>
    <xf numFmtId="0" fontId="37" fillId="20" borderId="1" xfId="0" quotePrefix="1" applyFont="1" applyFill="1" applyBorder="1" applyAlignment="1" applyProtection="1">
      <alignment horizontal="center" vertical="center" wrapText="1"/>
    </xf>
    <xf numFmtId="0" fontId="21" fillId="20" borderId="1" xfId="0" applyFont="1" applyFill="1" applyBorder="1" applyAlignment="1" applyProtection="1">
      <alignment horizontal="center" vertical="center" wrapText="1"/>
    </xf>
    <xf numFmtId="0" fontId="21" fillId="20" borderId="19" xfId="0" applyFont="1" applyFill="1" applyBorder="1" applyAlignment="1" applyProtection="1">
      <alignment horizontal="center" vertical="center" wrapText="1"/>
    </xf>
    <xf numFmtId="0" fontId="22" fillId="21" borderId="19" xfId="0" quotePrefix="1" applyFont="1" applyFill="1" applyBorder="1" applyAlignment="1" applyProtection="1">
      <alignment horizontal="center" vertical="center"/>
    </xf>
    <xf numFmtId="0" fontId="21" fillId="20" borderId="18" xfId="0" applyFont="1" applyFill="1" applyBorder="1" applyAlignment="1" applyProtection="1">
      <alignment horizontal="center" vertical="center" wrapText="1"/>
    </xf>
    <xf numFmtId="0" fontId="37" fillId="20" borderId="19" xfId="0" quotePrefix="1" applyFont="1" applyFill="1" applyBorder="1" applyAlignment="1" applyProtection="1">
      <alignment horizontal="center" vertical="center" wrapText="1"/>
    </xf>
    <xf numFmtId="0" fontId="22" fillId="19" borderId="29" xfId="0" quotePrefix="1" applyFont="1" applyFill="1" applyBorder="1" applyAlignment="1" applyProtection="1">
      <alignment horizontal="center" vertical="center"/>
    </xf>
    <xf numFmtId="0" fontId="33" fillId="23" borderId="1" xfId="0" applyFont="1" applyFill="1" applyBorder="1" applyAlignment="1">
      <alignment vertical="center"/>
    </xf>
    <xf numFmtId="0" fontId="32" fillId="24" borderId="1" xfId="0" applyFont="1" applyFill="1" applyBorder="1" applyAlignment="1" applyProtection="1">
      <alignment horizontal="center"/>
      <protection locked="0"/>
    </xf>
    <xf numFmtId="0" fontId="32" fillId="24" borderId="1" xfId="0" applyFont="1" applyFill="1" applyBorder="1" applyAlignment="1">
      <alignment horizontal="center"/>
    </xf>
    <xf numFmtId="0" fontId="32" fillId="24" borderId="2" xfId="0" applyFont="1" applyFill="1" applyBorder="1" applyAlignment="1">
      <alignment horizontal="center"/>
    </xf>
    <xf numFmtId="0" fontId="32" fillId="24" borderId="3" xfId="0" applyFont="1" applyFill="1" applyBorder="1" applyAlignment="1">
      <alignment horizontal="center"/>
    </xf>
    <xf numFmtId="0" fontId="32" fillId="24" borderId="9" xfId="0" applyFont="1" applyFill="1" applyBorder="1" applyAlignment="1">
      <alignment horizontal="center"/>
    </xf>
    <xf numFmtId="9" fontId="32" fillId="25" borderId="2" xfId="0" applyNumberFormat="1" applyFont="1" applyFill="1" applyBorder="1" applyAlignment="1">
      <alignment horizontal="center"/>
    </xf>
    <xf numFmtId="0" fontId="32" fillId="25" borderId="2" xfId="0" applyFont="1" applyFill="1" applyBorder="1" applyAlignment="1">
      <alignment horizontal="center"/>
    </xf>
    <xf numFmtId="0" fontId="32" fillId="25" borderId="3" xfId="0" applyFont="1" applyFill="1" applyBorder="1" applyAlignment="1">
      <alignment horizontal="center"/>
    </xf>
    <xf numFmtId="9" fontId="32" fillId="25" borderId="1" xfId="0" applyNumberFormat="1" applyFont="1" applyFill="1" applyBorder="1" applyAlignment="1">
      <alignment horizontal="center"/>
    </xf>
    <xf numFmtId="164" fontId="32" fillId="25" borderId="1" xfId="0" applyNumberFormat="1" applyFont="1" applyFill="1" applyBorder="1" applyAlignment="1">
      <alignment horizontal="center"/>
    </xf>
    <xf numFmtId="164" fontId="32" fillId="25" borderId="9" xfId="0" applyNumberFormat="1" applyFont="1" applyFill="1" applyBorder="1" applyAlignment="1">
      <alignment horizontal="center"/>
    </xf>
    <xf numFmtId="2" fontId="32" fillId="25" borderId="9" xfId="0" applyNumberFormat="1" applyFont="1" applyFill="1" applyBorder="1" applyAlignment="1">
      <alignment horizontal="center"/>
    </xf>
    <xf numFmtId="0" fontId="33" fillId="2" borderId="4" xfId="0" applyFont="1" applyFill="1" applyBorder="1" applyAlignment="1"/>
    <xf numFmtId="0" fontId="32" fillId="7" borderId="48" xfId="0" applyFont="1" applyFill="1" applyBorder="1" applyAlignment="1">
      <alignment horizontal="center" vertical="center"/>
    </xf>
    <xf numFmtId="0" fontId="32" fillId="8" borderId="48" xfId="0" applyFont="1" applyFill="1" applyBorder="1" applyAlignment="1">
      <alignment horizontal="center" vertical="center"/>
    </xf>
    <xf numFmtId="0" fontId="32" fillId="7" borderId="3" xfId="0" applyFont="1" applyFill="1" applyBorder="1" applyAlignment="1">
      <alignment horizontal="center" vertical="center"/>
    </xf>
    <xf numFmtId="0" fontId="38" fillId="0" borderId="0" xfId="0" applyFont="1"/>
    <xf numFmtId="165" fontId="32" fillId="24" borderId="2" xfId="1" applyNumberFormat="1" applyFont="1" applyFill="1" applyBorder="1" applyAlignment="1">
      <alignment horizontal="center"/>
    </xf>
    <xf numFmtId="165" fontId="32" fillId="24" borderId="9" xfId="1" applyNumberFormat="1" applyFont="1" applyFill="1" applyBorder="1" applyAlignment="1">
      <alignment horizontal="center"/>
    </xf>
    <xf numFmtId="9" fontId="32" fillId="25" borderId="3" xfId="30" applyFont="1" applyFill="1" applyBorder="1" applyAlignment="1">
      <alignment horizont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5" fillId="2" borderId="0" xfId="0" applyFont="1" applyFill="1"/>
    <xf numFmtId="0" fontId="15" fillId="2" borderId="0" xfId="0" applyFont="1" applyFill="1" applyBorder="1" applyAlignment="1">
      <alignment horizontal="left" vertical="center"/>
    </xf>
    <xf numFmtId="0" fontId="15" fillId="2" borderId="0" xfId="0" applyFont="1" applyFill="1" applyBorder="1"/>
    <xf numFmtId="0" fontId="15" fillId="11"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0" borderId="1" xfId="0" applyFont="1" applyFill="1" applyBorder="1" applyAlignment="1">
      <alignment horizontal="center"/>
    </xf>
    <xf numFmtId="0" fontId="15" fillId="0" borderId="0" xfId="0" applyFont="1" applyFill="1"/>
    <xf numFmtId="0" fontId="33" fillId="2" borderId="0" xfId="0" applyFont="1" applyFill="1"/>
    <xf numFmtId="0" fontId="33" fillId="2" borderId="0" xfId="0" applyFont="1" applyFill="1" applyAlignment="1"/>
    <xf numFmtId="0" fontId="15" fillId="11" borderId="1" xfId="0" quotePrefix="1" applyFont="1" applyFill="1" applyBorder="1"/>
    <xf numFmtId="0" fontId="15" fillId="2" borderId="1" xfId="0" applyFont="1" applyFill="1" applyBorder="1" applyAlignment="1">
      <alignment horizontal="center"/>
    </xf>
    <xf numFmtId="0" fontId="33" fillId="0" borderId="0" xfId="0" applyFont="1"/>
    <xf numFmtId="0" fontId="15" fillId="0" borderId="1" xfId="0" quotePrefix="1" applyFont="1" applyFill="1" applyBorder="1"/>
    <xf numFmtId="0" fontId="15" fillId="0" borderId="1" xfId="0" applyFont="1" applyBorder="1" applyAlignment="1">
      <alignment horizontal="center"/>
    </xf>
    <xf numFmtId="0" fontId="3" fillId="12" borderId="1" xfId="0" applyFont="1" applyFill="1" applyBorder="1" applyAlignment="1">
      <alignment horizontal="center"/>
    </xf>
    <xf numFmtId="0" fontId="0" fillId="2" borderId="0" xfId="0" applyFont="1" applyFill="1"/>
    <xf numFmtId="0" fontId="35" fillId="16" borderId="1" xfId="0" applyFont="1" applyFill="1" applyBorder="1" applyAlignment="1">
      <alignment horizontal="center"/>
    </xf>
    <xf numFmtId="0" fontId="35" fillId="21" borderId="1" xfId="0" applyFont="1" applyFill="1" applyBorder="1" applyAlignment="1">
      <alignment horizontal="center"/>
    </xf>
    <xf numFmtId="0" fontId="33" fillId="21" borderId="0" xfId="0" applyFont="1" applyFill="1"/>
    <xf numFmtId="0" fontId="15" fillId="6" borderId="2" xfId="0" applyFont="1" applyFill="1" applyBorder="1" applyAlignment="1">
      <alignment horizontal="center" vertical="center"/>
    </xf>
    <xf numFmtId="0" fontId="15" fillId="0" borderId="0" xfId="0" applyFont="1" applyFill="1" applyAlignment="1">
      <alignment horizontal="center"/>
    </xf>
    <xf numFmtId="0" fontId="15" fillId="2" borderId="0" xfId="0" quotePrefix="1" applyFont="1" applyFill="1" applyBorder="1" applyAlignment="1">
      <alignment horizontal="right" vertical="top"/>
    </xf>
    <xf numFmtId="0" fontId="15" fillId="6" borderId="0" xfId="0" applyFont="1" applyFill="1" applyBorder="1" applyAlignment="1">
      <alignment horizontal="center" vertical="center"/>
    </xf>
    <xf numFmtId="0" fontId="15" fillId="12" borderId="1" xfId="0" applyFont="1" applyFill="1" applyBorder="1" applyAlignment="1">
      <alignment horizontal="center" vertical="center"/>
    </xf>
    <xf numFmtId="0" fontId="15" fillId="11" borderId="1" xfId="0" applyFont="1" applyFill="1" applyBorder="1" applyAlignment="1">
      <alignment horizontal="right"/>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Border="1" applyAlignment="1">
      <alignment horizontal="right"/>
    </xf>
    <xf numFmtId="0" fontId="0" fillId="2" borderId="0" xfId="0" applyFont="1" applyFill="1" applyBorder="1" applyAlignment="1">
      <alignment horizontal="left" wrapText="1"/>
    </xf>
    <xf numFmtId="2" fontId="3" fillId="2" borderId="0" xfId="0" applyNumberFormat="1" applyFont="1" applyFill="1" applyBorder="1" applyAlignment="1">
      <alignment horizontal="center" vertical="center" wrapText="1"/>
    </xf>
    <xf numFmtId="0" fontId="15" fillId="11" borderId="1" xfId="0" quotePrefix="1" applyFont="1" applyFill="1" applyBorder="1" applyAlignment="1">
      <alignment horizontal="right"/>
    </xf>
    <xf numFmtId="0" fontId="3" fillId="11" borderId="1" xfId="0" applyFont="1" applyFill="1" applyBorder="1" applyAlignment="1">
      <alignment horizontal="right" vertical="center"/>
    </xf>
    <xf numFmtId="0" fontId="3" fillId="2" borderId="0" xfId="0" applyFont="1" applyFill="1" applyBorder="1" applyAlignment="1">
      <alignment horizontal="right" vertical="center"/>
    </xf>
    <xf numFmtId="0" fontId="3" fillId="11" borderId="1" xfId="0" quotePrefix="1" applyFont="1" applyFill="1" applyBorder="1" applyAlignment="1">
      <alignment horizontal="right" vertical="center"/>
    </xf>
    <xf numFmtId="0" fontId="15" fillId="11" borderId="0" xfId="0" applyFont="1" applyFill="1" applyBorder="1" applyAlignment="1">
      <alignment horizontal="right"/>
    </xf>
    <xf numFmtId="0" fontId="0" fillId="18" borderId="39" xfId="0" applyFill="1" applyBorder="1"/>
    <xf numFmtId="0" fontId="0" fillId="18" borderId="40" xfId="0" applyFill="1" applyBorder="1"/>
    <xf numFmtId="0" fontId="0" fillId="18" borderId="41" xfId="0" applyFill="1" applyBorder="1"/>
    <xf numFmtId="0" fontId="0" fillId="18" borderId="49" xfId="0" applyFill="1" applyBorder="1"/>
    <xf numFmtId="0" fontId="13" fillId="2" borderId="34" xfId="0" applyFont="1" applyFill="1" applyBorder="1" applyAlignment="1">
      <alignment horizontal="center" vertical="center"/>
    </xf>
    <xf numFmtId="0" fontId="3" fillId="12" borderId="13" xfId="0" applyFont="1" applyFill="1" applyBorder="1" applyAlignment="1">
      <alignment horizontal="center" vertical="center"/>
    </xf>
    <xf numFmtId="0" fontId="3" fillId="0" borderId="35" xfId="0" applyFont="1" applyBorder="1"/>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4" borderId="19"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37" xfId="0" applyFont="1" applyBorder="1" applyAlignment="1">
      <alignment horizontal="center" vertical="center"/>
    </xf>
    <xf numFmtId="0" fontId="29" fillId="2" borderId="37" xfId="0" applyFont="1" applyFill="1" applyBorder="1" applyAlignment="1">
      <alignment horizontal="center" vertical="center"/>
    </xf>
    <xf numFmtId="43" fontId="29" fillId="2" borderId="37" xfId="1" applyFont="1" applyFill="1" applyBorder="1" applyAlignment="1">
      <alignment horizontal="center" vertical="center"/>
    </xf>
    <xf numFmtId="2" fontId="29" fillId="2" borderId="37" xfId="0" applyNumberFormat="1" applyFont="1" applyFill="1" applyBorder="1" applyAlignment="1">
      <alignment horizontal="center" vertical="center"/>
    </xf>
    <xf numFmtId="0" fontId="13" fillId="0" borderId="33" xfId="0" applyFont="1" applyBorder="1"/>
    <xf numFmtId="0" fontId="13" fillId="0" borderId="37" xfId="0" applyFont="1" applyBorder="1"/>
    <xf numFmtId="0" fontId="29" fillId="2" borderId="31" xfId="0" applyFont="1" applyFill="1" applyBorder="1" applyAlignment="1">
      <alignment horizontal="center"/>
    </xf>
    <xf numFmtId="0" fontId="0" fillId="2" borderId="32" xfId="0" applyFont="1" applyFill="1" applyBorder="1" applyAlignment="1">
      <alignment horizontal="center" vertical="center"/>
    </xf>
    <xf numFmtId="0" fontId="0" fillId="23" borderId="38" xfId="0" applyFont="1" applyFill="1" applyBorder="1" applyAlignment="1">
      <alignment horizontal="left" vertical="top"/>
    </xf>
    <xf numFmtId="0" fontId="0" fillId="23" borderId="47" xfId="0" applyFont="1" applyFill="1" applyBorder="1" applyAlignment="1">
      <alignment vertical="center" wrapText="1"/>
    </xf>
    <xf numFmtId="0" fontId="0" fillId="23" borderId="11" xfId="0" applyFont="1" applyFill="1" applyBorder="1" applyAlignment="1">
      <alignment vertical="center" wrapText="1"/>
    </xf>
    <xf numFmtId="0" fontId="0" fillId="23" borderId="44" xfId="0" applyFont="1" applyFill="1" applyBorder="1" applyAlignment="1">
      <alignment vertical="center" wrapText="1"/>
    </xf>
    <xf numFmtId="0" fontId="0" fillId="23" borderId="11" xfId="0" applyFont="1" applyFill="1" applyBorder="1" applyAlignment="1">
      <alignment horizontal="left" vertical="top"/>
    </xf>
    <xf numFmtId="0" fontId="0" fillId="23" borderId="44" xfId="0" applyFont="1" applyFill="1" applyBorder="1" applyAlignment="1">
      <alignment horizontal="left" vertical="top"/>
    </xf>
    <xf numFmtId="0" fontId="15" fillId="0" borderId="2" xfId="0" applyFont="1" applyFill="1" applyBorder="1" applyAlignment="1">
      <alignment horizontal="center" vertical="center"/>
    </xf>
    <xf numFmtId="0" fontId="15" fillId="11" borderId="2" xfId="0" applyFont="1" applyFill="1" applyBorder="1" applyAlignment="1">
      <alignment horizontal="center" vertical="center"/>
    </xf>
    <xf numFmtId="165" fontId="15" fillId="11" borderId="2" xfId="0" applyNumberFormat="1" applyFont="1" applyFill="1" applyBorder="1"/>
    <xf numFmtId="0" fontId="39" fillId="11" borderId="48" xfId="0" applyFont="1" applyFill="1" applyBorder="1" applyAlignment="1">
      <alignment horizontal="center"/>
    </xf>
    <xf numFmtId="0" fontId="15" fillId="11" borderId="2" xfId="0" quotePrefix="1" applyFont="1" applyFill="1" applyBorder="1"/>
    <xf numFmtId="0" fontId="15" fillId="11" borderId="2" xfId="0" applyFont="1" applyFill="1" applyBorder="1"/>
    <xf numFmtId="0" fontId="15" fillId="11" borderId="2" xfId="0" applyFont="1" applyFill="1" applyBorder="1" applyAlignment="1">
      <alignment horizontal="center"/>
    </xf>
    <xf numFmtId="0" fontId="15" fillId="11" borderId="2" xfId="0" quotePrefix="1" applyFont="1" applyFill="1" applyBorder="1" applyAlignment="1">
      <alignment vertical="top"/>
    </xf>
    <xf numFmtId="0" fontId="15" fillId="2" borderId="10" xfId="0" quotePrefix="1" applyFont="1" applyFill="1" applyBorder="1" applyAlignment="1">
      <alignment vertical="top"/>
    </xf>
    <xf numFmtId="0" fontId="15" fillId="0" borderId="5" xfId="0" applyFont="1" applyBorder="1" applyAlignment="1">
      <alignment horizontal="center"/>
    </xf>
    <xf numFmtId="0" fontId="15" fillId="6" borderId="5" xfId="0" applyFont="1" applyFill="1" applyBorder="1" applyAlignment="1">
      <alignment horizontal="center" vertical="center"/>
    </xf>
    <xf numFmtId="0" fontId="15" fillId="2" borderId="5" xfId="0" applyFont="1" applyFill="1" applyBorder="1" applyAlignment="1">
      <alignment horizontal="center"/>
    </xf>
    <xf numFmtId="0" fontId="3" fillId="0" borderId="0" xfId="0" applyFont="1" applyBorder="1" applyAlignment="1">
      <alignment vertical="center"/>
    </xf>
    <xf numFmtId="0" fontId="19" fillId="0" borderId="0" xfId="0" applyFont="1" applyBorder="1" applyAlignment="1">
      <alignment vertical="center"/>
    </xf>
    <xf numFmtId="0" fontId="17" fillId="0" borderId="0" xfId="0" applyFont="1" applyBorder="1" applyAlignment="1">
      <alignment vertical="center"/>
    </xf>
    <xf numFmtId="0" fontId="31" fillId="2" borderId="0" xfId="0" applyFont="1" applyFill="1" applyBorder="1" applyAlignment="1">
      <alignment horizontal="left" vertical="top" wrapText="1"/>
    </xf>
    <xf numFmtId="0" fontId="32" fillId="13" borderId="0" xfId="0" applyFont="1" applyFill="1" applyBorder="1" applyAlignment="1">
      <alignment horizontal="center" vertical="center" wrapText="1"/>
    </xf>
    <xf numFmtId="0" fontId="32" fillId="8" borderId="0" xfId="0" applyFont="1" applyFill="1" applyBorder="1" applyAlignment="1">
      <alignment horizontal="center" vertical="center"/>
    </xf>
    <xf numFmtId="0" fontId="33" fillId="23" borderId="0" xfId="0" applyFont="1" applyFill="1" applyBorder="1" applyAlignment="1">
      <alignment horizontal="center"/>
    </xf>
    <xf numFmtId="0" fontId="32" fillId="7" borderId="0" xfId="0" applyFont="1" applyFill="1" applyBorder="1" applyAlignment="1">
      <alignment horizontal="center" vertical="center"/>
    </xf>
    <xf numFmtId="0" fontId="34" fillId="9" borderId="0" xfId="0" applyFont="1" applyFill="1" applyBorder="1"/>
    <xf numFmtId="9" fontId="34" fillId="9" borderId="0" xfId="0" applyNumberFormat="1" applyFont="1" applyFill="1" applyBorder="1"/>
    <xf numFmtId="1" fontId="32" fillId="15" borderId="0" xfId="0" applyNumberFormat="1" applyFont="1" applyFill="1" applyBorder="1" applyAlignment="1">
      <alignment horizontal="center"/>
    </xf>
    <xf numFmtId="0" fontId="32" fillId="9" borderId="0" xfId="0" applyFont="1" applyFill="1" applyBorder="1" applyAlignment="1">
      <alignment horizontal="center"/>
    </xf>
    <xf numFmtId="0" fontId="32" fillId="0" borderId="0" xfId="0" applyFont="1" applyBorder="1" applyAlignment="1">
      <alignment horizontal="center" vertical="center"/>
    </xf>
    <xf numFmtId="0" fontId="6" fillId="0" borderId="0" xfId="0" applyFont="1" applyBorder="1" applyAlignment="1">
      <alignment wrapText="1"/>
    </xf>
    <xf numFmtId="0" fontId="3" fillId="2" borderId="0" xfId="0" applyFont="1" applyFill="1" applyBorder="1" applyAlignment="1">
      <alignment horizontal="left"/>
    </xf>
    <xf numFmtId="0" fontId="0" fillId="2" borderId="33" xfId="0" applyFont="1" applyFill="1" applyBorder="1" applyAlignment="1">
      <alignment horizontal="left"/>
    </xf>
    <xf numFmtId="2" fontId="15" fillId="11" borderId="18" xfId="0" applyNumberFormat="1" applyFont="1" applyFill="1" applyBorder="1"/>
    <xf numFmtId="0" fontId="0" fillId="0" borderId="8" xfId="0" applyBorder="1" applyAlignment="1"/>
    <xf numFmtId="0" fontId="0" fillId="0" borderId="46" xfId="0" applyBorder="1" applyAlignment="1"/>
    <xf numFmtId="0" fontId="0" fillId="0" borderId="37" xfId="0" applyBorder="1" applyAlignment="1"/>
    <xf numFmtId="0" fontId="41" fillId="0" borderId="0" xfId="0" applyFont="1"/>
    <xf numFmtId="0" fontId="42" fillId="2" borderId="33" xfId="0" applyFont="1" applyFill="1" applyBorder="1" applyAlignment="1">
      <alignment horizontal="left"/>
    </xf>
    <xf numFmtId="0" fontId="27" fillId="2" borderId="31" xfId="0" applyFont="1" applyFill="1" applyBorder="1" applyAlignment="1">
      <alignment horizontal="left" vertical="top"/>
    </xf>
    <xf numFmtId="2" fontId="29" fillId="22" borderId="17" xfId="0" applyNumberFormat="1" applyFont="1" applyFill="1" applyBorder="1" applyAlignment="1">
      <alignment horizontal="center" vertical="center"/>
    </xf>
    <xf numFmtId="0" fontId="29" fillId="22" borderId="4" xfId="0" applyFont="1" applyFill="1" applyBorder="1" applyAlignment="1">
      <alignment horizontal="center" vertical="center"/>
    </xf>
    <xf numFmtId="166" fontId="29" fillId="22" borderId="3" xfId="0" applyNumberFormat="1" applyFont="1" applyFill="1" applyBorder="1" applyAlignment="1">
      <alignment horizontal="center" vertical="center"/>
    </xf>
    <xf numFmtId="0" fontId="45" fillId="0" borderId="0" xfId="0" applyFont="1"/>
    <xf numFmtId="166" fontId="46" fillId="22" borderId="52" xfId="0" applyNumberFormat="1" applyFont="1" applyFill="1" applyBorder="1" applyAlignment="1">
      <alignment horizontal="center" vertical="center"/>
    </xf>
    <xf numFmtId="1" fontId="29" fillId="22" borderId="1" xfId="0" applyNumberFormat="1" applyFont="1" applyFill="1" applyBorder="1" applyAlignment="1">
      <alignment horizontal="center" vertical="center"/>
    </xf>
    <xf numFmtId="0" fontId="0" fillId="2" borderId="33" xfId="0" applyFill="1" applyBorder="1" applyAlignment="1">
      <alignment horizontal="left" vertical="center" wrapText="1"/>
    </xf>
    <xf numFmtId="0" fontId="0" fillId="0" borderId="0" xfId="0" applyAlignment="1">
      <alignment horizontal="center" wrapText="1"/>
    </xf>
    <xf numFmtId="0" fontId="49" fillId="0" borderId="0" xfId="0" applyFont="1"/>
    <xf numFmtId="0" fontId="50" fillId="0" borderId="39" xfId="0" applyFont="1" applyBorder="1" applyAlignment="1">
      <alignment horizontal="center" vertical="center"/>
    </xf>
    <xf numFmtId="0" fontId="51" fillId="0" borderId="0" xfId="0" applyFont="1" applyAlignment="1">
      <alignment vertical="top" wrapText="1"/>
    </xf>
    <xf numFmtId="0" fontId="49" fillId="29" borderId="53" xfId="0" applyFont="1" applyFill="1" applyBorder="1" applyAlignment="1">
      <alignment horizontal="right" wrapText="1"/>
    </xf>
    <xf numFmtId="0" fontId="49" fillId="29" borderId="0" xfId="0" applyFont="1" applyFill="1" applyAlignment="1">
      <alignment wrapText="1"/>
    </xf>
    <xf numFmtId="0" fontId="49" fillId="29" borderId="0" xfId="0" applyFont="1" applyFill="1" applyAlignment="1">
      <alignment horizontal="right" wrapText="1"/>
    </xf>
    <xf numFmtId="0" fontId="49" fillId="29" borderId="11" xfId="0" applyFont="1" applyFill="1" applyBorder="1" applyAlignment="1" applyProtection="1">
      <alignment horizontal="center" wrapText="1"/>
      <protection locked="0"/>
    </xf>
    <xf numFmtId="0" fontId="49" fillId="29" borderId="9" xfId="0" applyFont="1" applyFill="1" applyBorder="1" applyAlignment="1" applyProtection="1">
      <alignment horizontal="center" wrapText="1"/>
      <protection locked="0"/>
    </xf>
    <xf numFmtId="0" fontId="49" fillId="29" borderId="53" xfId="0" applyFont="1" applyFill="1" applyBorder="1" applyAlignment="1">
      <alignment horizontal="right"/>
    </xf>
    <xf numFmtId="0" fontId="49" fillId="29" borderId="10" xfId="0" applyFont="1" applyFill="1" applyBorder="1" applyAlignment="1">
      <alignment wrapText="1"/>
    </xf>
    <xf numFmtId="0" fontId="49" fillId="29" borderId="34" xfId="0" applyFont="1" applyFill="1" applyBorder="1" applyAlignment="1">
      <alignment horizontal="right" wrapText="1"/>
    </xf>
    <xf numFmtId="0" fontId="49" fillId="29" borderId="35" xfId="0" applyFont="1" applyFill="1" applyBorder="1" applyAlignment="1">
      <alignment horizontal="right" wrapText="1"/>
    </xf>
    <xf numFmtId="0" fontId="49" fillId="29" borderId="36" xfId="0" applyFont="1" applyFill="1" applyBorder="1" applyAlignment="1">
      <alignment wrapText="1"/>
    </xf>
    <xf numFmtId="0" fontId="49" fillId="29" borderId="37" xfId="0" applyFont="1" applyFill="1" applyBorder="1" applyAlignment="1">
      <alignment wrapText="1"/>
    </xf>
    <xf numFmtId="0" fontId="49" fillId="29" borderId="33" xfId="0" applyFont="1" applyFill="1" applyBorder="1" applyAlignment="1">
      <alignment horizontal="right" wrapText="1"/>
    </xf>
    <xf numFmtId="0" fontId="54" fillId="0" borderId="0" xfId="0" applyFont="1"/>
    <xf numFmtId="0" fontId="49" fillId="29" borderId="30" xfId="0" applyFont="1" applyFill="1" applyBorder="1"/>
    <xf numFmtId="0" fontId="49" fillId="29" borderId="31" xfId="0" applyFont="1" applyFill="1" applyBorder="1" applyAlignment="1">
      <alignment horizontal="right" wrapText="1"/>
    </xf>
    <xf numFmtId="0" fontId="49" fillId="29" borderId="32" xfId="0" applyFont="1" applyFill="1" applyBorder="1" applyAlignment="1">
      <alignment wrapText="1"/>
    </xf>
    <xf numFmtId="0" fontId="49" fillId="0" borderId="0" xfId="0" applyFont="1" applyAlignment="1">
      <alignment horizontal="right" wrapText="1"/>
    </xf>
    <xf numFmtId="0" fontId="49" fillId="0" borderId="0" xfId="0" applyFont="1" applyAlignment="1">
      <alignment wrapText="1"/>
    </xf>
    <xf numFmtId="0" fontId="49" fillId="29" borderId="34" xfId="0" applyFont="1" applyFill="1" applyBorder="1" applyAlignment="1">
      <alignment wrapText="1"/>
    </xf>
    <xf numFmtId="0" fontId="49" fillId="29" borderId="30" xfId="0" applyFont="1" applyFill="1" applyBorder="1" applyAlignment="1">
      <alignment wrapText="1"/>
    </xf>
    <xf numFmtId="0" fontId="49" fillId="29" borderId="31" xfId="0" applyFont="1" applyFill="1" applyBorder="1" applyAlignment="1">
      <alignment wrapText="1"/>
    </xf>
    <xf numFmtId="0" fontId="49" fillId="29" borderId="31" xfId="0" applyFont="1" applyFill="1" applyBorder="1" applyAlignment="1">
      <alignment horizontal="center" wrapText="1"/>
    </xf>
    <xf numFmtId="0" fontId="49" fillId="29" borderId="32" xfId="0" applyFont="1" applyFill="1" applyBorder="1" applyAlignment="1">
      <alignment horizontal="center" wrapText="1"/>
    </xf>
    <xf numFmtId="0" fontId="52" fillId="0" borderId="0" xfId="0" applyFont="1" applyAlignment="1">
      <alignment horizontal="center" wrapText="1"/>
    </xf>
    <xf numFmtId="0" fontId="55" fillId="0" borderId="0" xfId="0" applyFont="1"/>
    <xf numFmtId="0" fontId="49" fillId="29" borderId="30" xfId="0" applyFont="1" applyFill="1" applyBorder="1" applyAlignment="1">
      <alignment horizontal="right"/>
    </xf>
    <xf numFmtId="0" fontId="56" fillId="0" borderId="0" xfId="0" applyFont="1"/>
    <xf numFmtId="0" fontId="58" fillId="0" borderId="0" xfId="0" applyFont="1" applyAlignment="1">
      <alignment horizontal="left" vertical="center" wrapText="1"/>
    </xf>
    <xf numFmtId="0" fontId="58" fillId="0" borderId="0" xfId="0" applyFont="1" applyAlignment="1">
      <alignment wrapText="1"/>
    </xf>
    <xf numFmtId="0" fontId="53" fillId="0" borderId="0" xfId="0" applyFont="1"/>
    <xf numFmtId="0" fontId="17" fillId="0" borderId="0" xfId="0" applyFont="1" applyAlignment="1">
      <alignment horizontal="center" wrapText="1"/>
    </xf>
    <xf numFmtId="0" fontId="53" fillId="0" borderId="0" xfId="0" applyFont="1" applyAlignment="1">
      <alignment wrapText="1"/>
    </xf>
    <xf numFmtId="0" fontId="59" fillId="0" borderId="0" xfId="0" applyFont="1" applyAlignment="1">
      <alignment horizontal="center" wrapText="1"/>
    </xf>
    <xf numFmtId="0" fontId="59" fillId="0" borderId="0" xfId="0" applyFont="1" applyAlignment="1">
      <alignment horizontal="center"/>
    </xf>
    <xf numFmtId="0" fontId="60" fillId="0" borderId="0" xfId="0" applyFont="1" applyAlignment="1">
      <alignment wrapText="1"/>
    </xf>
    <xf numFmtId="0" fontId="59" fillId="0" borderId="0" xfId="0" applyFont="1"/>
    <xf numFmtId="0" fontId="60" fillId="0" borderId="0" xfId="0" applyFont="1"/>
    <xf numFmtId="0" fontId="49" fillId="0" borderId="0" xfId="0" applyFont="1" applyAlignment="1">
      <alignment horizontal="center" wrapText="1"/>
    </xf>
    <xf numFmtId="0" fontId="49" fillId="2" borderId="0" xfId="0" applyFont="1" applyFill="1" applyAlignment="1">
      <alignment wrapText="1"/>
    </xf>
    <xf numFmtId="0" fontId="49" fillId="2" borderId="0" xfId="0" applyFont="1" applyFill="1" applyAlignment="1">
      <alignment horizontal="center" wrapText="1"/>
    </xf>
    <xf numFmtId="0" fontId="61" fillId="2" borderId="0" xfId="0" applyFont="1" applyFill="1" applyAlignment="1">
      <alignment horizontal="center" vertical="center" wrapText="1"/>
    </xf>
    <xf numFmtId="0" fontId="49" fillId="29" borderId="54" xfId="0" applyFont="1" applyFill="1" applyBorder="1" applyAlignment="1">
      <alignment horizontal="center" wrapText="1"/>
    </xf>
    <xf numFmtId="14" fontId="49" fillId="29" borderId="55" xfId="0" applyNumberFormat="1" applyFont="1" applyFill="1" applyBorder="1" applyAlignment="1">
      <alignment horizontal="center" wrapText="1"/>
    </xf>
    <xf numFmtId="0" fontId="49" fillId="29" borderId="11" xfId="0" applyFont="1" applyFill="1" applyBorder="1" applyAlignment="1">
      <alignment horizontal="center" wrapText="1"/>
    </xf>
    <xf numFmtId="0" fontId="49" fillId="29" borderId="17" xfId="0" applyFont="1" applyFill="1" applyBorder="1" applyAlignment="1">
      <alignment horizontal="center" wrapText="1"/>
    </xf>
    <xf numFmtId="0" fontId="49" fillId="29" borderId="30" xfId="0" applyFont="1" applyFill="1" applyBorder="1" applyAlignment="1">
      <alignment horizontal="right" wrapText="1"/>
    </xf>
    <xf numFmtId="0" fontId="52" fillId="2" borderId="0" xfId="0" applyFont="1" applyFill="1" applyAlignment="1">
      <alignment horizontal="center" wrapText="1"/>
    </xf>
    <xf numFmtId="0" fontId="49" fillId="30" borderId="18" xfId="0" applyFont="1" applyFill="1" applyBorder="1" applyAlignment="1">
      <alignment wrapText="1"/>
    </xf>
    <xf numFmtId="0" fontId="50" fillId="30" borderId="1" xfId="0" applyFont="1" applyFill="1" applyBorder="1" applyAlignment="1">
      <alignment horizontal="center" wrapText="1"/>
    </xf>
    <xf numFmtId="0" fontId="50" fillId="30" borderId="19" xfId="0" applyFont="1" applyFill="1" applyBorder="1" applyAlignment="1">
      <alignment horizontal="center" wrapText="1"/>
    </xf>
    <xf numFmtId="0" fontId="65" fillId="2" borderId="0" xfId="0" applyFont="1" applyFill="1"/>
    <xf numFmtId="0" fontId="50" fillId="30" borderId="0" xfId="0" applyFont="1" applyFill="1" applyAlignment="1">
      <alignment horizontal="center" wrapText="1"/>
    </xf>
    <xf numFmtId="0" fontId="49" fillId="30" borderId="20" xfId="0" applyFont="1" applyFill="1" applyBorder="1" applyAlignment="1">
      <alignment wrapText="1"/>
    </xf>
    <xf numFmtId="0" fontId="66" fillId="30" borderId="21" xfId="0" applyFont="1" applyFill="1" applyBorder="1" applyAlignment="1">
      <alignment horizontal="center" vertical="center" wrapText="1"/>
    </xf>
    <xf numFmtId="0" fontId="49" fillId="30" borderId="29"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0" borderId="0" xfId="0" applyFont="1" applyAlignment="1">
      <alignment horizontal="center" vertical="center" wrapText="1"/>
    </xf>
    <xf numFmtId="0" fontId="67" fillId="0" borderId="9" xfId="0" applyFont="1" applyBorder="1" applyAlignment="1">
      <alignment wrapText="1"/>
    </xf>
    <xf numFmtId="0" fontId="69" fillId="0" borderId="3" xfId="0" applyFont="1" applyBorder="1" applyAlignment="1">
      <alignment horizontal="center" vertical="center" wrapText="1"/>
    </xf>
    <xf numFmtId="0" fontId="69" fillId="0" borderId="47" xfId="0" applyFont="1" applyBorder="1" applyAlignment="1">
      <alignment horizontal="center" vertical="center" wrapText="1"/>
    </xf>
    <xf numFmtId="0" fontId="49" fillId="0" borderId="3" xfId="0" applyFont="1" applyBorder="1" applyAlignment="1">
      <alignment horizontal="center" vertical="center" wrapText="1"/>
    </xf>
    <xf numFmtId="0" fontId="67" fillId="0" borderId="48" xfId="0" applyFont="1" applyBorder="1" applyAlignment="1">
      <alignment wrapText="1"/>
    </xf>
    <xf numFmtId="0" fontId="69" fillId="0" borderId="4" xfId="0" applyFont="1" applyBorder="1" applyAlignment="1">
      <alignment horizontal="center" vertical="center" wrapText="1"/>
    </xf>
    <xf numFmtId="0" fontId="69" fillId="0" borderId="7"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3" xfId="0" applyFont="1" applyBorder="1" applyAlignment="1">
      <alignment wrapText="1"/>
    </xf>
    <xf numFmtId="0" fontId="66" fillId="0" borderId="14"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2" borderId="0" xfId="0" applyFont="1" applyFill="1" applyAlignment="1">
      <alignment horizontal="center" vertical="center" wrapText="1"/>
    </xf>
    <xf numFmtId="0" fontId="49" fillId="0" borderId="18" xfId="0" applyFont="1" applyBorder="1" applyAlignment="1">
      <alignment wrapText="1"/>
    </xf>
    <xf numFmtId="0" fontId="66" fillId="0" borderId="1" xfId="0" applyFont="1" applyBorder="1" applyAlignment="1" applyProtection="1">
      <alignment horizontal="center" vertical="center" wrapText="1"/>
      <protection locked="0"/>
    </xf>
    <xf numFmtId="0" fontId="69" fillId="0" borderId="19" xfId="0" applyFont="1" applyBorder="1" applyAlignment="1" applyProtection="1">
      <alignment horizontal="center" vertical="center" wrapText="1"/>
      <protection locked="0"/>
    </xf>
    <xf numFmtId="0" fontId="52" fillId="30" borderId="18" xfId="0" applyFont="1" applyFill="1" applyBorder="1" applyAlignment="1">
      <alignment wrapText="1"/>
    </xf>
    <xf numFmtId="0" fontId="66" fillId="30" borderId="1" xfId="0" applyFont="1" applyFill="1" applyBorder="1" applyAlignment="1">
      <alignment horizontal="center" vertical="center" wrapText="1"/>
    </xf>
    <xf numFmtId="0" fontId="49" fillId="30" borderId="19" xfId="0" applyFont="1" applyFill="1" applyBorder="1" applyAlignment="1">
      <alignment horizontal="center" vertical="center" wrapText="1"/>
    </xf>
    <xf numFmtId="0" fontId="69" fillId="30" borderId="1" xfId="0" applyFont="1" applyFill="1" applyBorder="1" applyAlignment="1">
      <alignment horizontal="center" vertical="center" wrapText="1"/>
    </xf>
    <xf numFmtId="0" fontId="49" fillId="0" borderId="0" xfId="0" applyFont="1" applyAlignment="1">
      <alignment vertical="top" wrapText="1"/>
    </xf>
    <xf numFmtId="0" fontId="49" fillId="0" borderId="20" xfId="0" applyFont="1" applyBorder="1" applyAlignment="1">
      <alignment vertical="top" wrapText="1"/>
    </xf>
    <xf numFmtId="0" fontId="69" fillId="2" borderId="21" xfId="0" applyFont="1" applyFill="1" applyBorder="1" applyAlignment="1" applyProtection="1">
      <alignment horizontal="center" vertical="top" wrapText="1"/>
      <protection locked="0"/>
    </xf>
    <xf numFmtId="0" fontId="49" fillId="2" borderId="29" xfId="0" applyFont="1" applyFill="1" applyBorder="1" applyAlignment="1" applyProtection="1">
      <alignment horizontal="center" vertical="top" wrapText="1"/>
      <protection locked="0"/>
    </xf>
    <xf numFmtId="0" fontId="49" fillId="2" borderId="0" xfId="0" applyFont="1" applyFill="1" applyAlignment="1">
      <alignment horizontal="center" vertical="top" wrapText="1"/>
    </xf>
    <xf numFmtId="0" fontId="49" fillId="0" borderId="0" xfId="0" applyFont="1" applyAlignment="1">
      <alignment horizontal="center" vertical="top" wrapText="1"/>
    </xf>
    <xf numFmtId="0" fontId="67" fillId="0" borderId="10" xfId="0" applyFont="1" applyBorder="1" applyAlignment="1">
      <alignment wrapText="1"/>
    </xf>
    <xf numFmtId="0" fontId="72" fillId="0" borderId="12" xfId="0" applyFont="1" applyBorder="1" applyAlignment="1">
      <alignment horizontal="center" vertical="center" wrapText="1"/>
    </xf>
    <xf numFmtId="0" fontId="67" fillId="0" borderId="12" xfId="0" applyFont="1" applyBorder="1" applyAlignment="1">
      <alignment horizontal="center" vertical="center" wrapText="1"/>
    </xf>
    <xf numFmtId="0" fontId="67" fillId="2" borderId="0" xfId="0" applyFont="1" applyFill="1" applyAlignment="1">
      <alignment horizontal="center" vertical="center" wrapText="1"/>
    </xf>
    <xf numFmtId="0" fontId="56" fillId="0" borderId="0" xfId="0" applyFont="1" applyAlignment="1">
      <alignment horizontal="center" vertical="center" wrapText="1"/>
    </xf>
    <xf numFmtId="0" fontId="67" fillId="0" borderId="0" xfId="0" applyFont="1" applyAlignment="1">
      <alignment horizontal="center" vertical="center" wrapText="1"/>
    </xf>
    <xf numFmtId="0" fontId="67" fillId="0" borderId="0" xfId="0" applyFont="1" applyAlignment="1">
      <alignment wrapText="1"/>
    </xf>
    <xf numFmtId="0" fontId="49" fillId="0" borderId="24" xfId="0" applyFont="1" applyBorder="1" applyAlignment="1">
      <alignment vertical="top" wrapText="1"/>
    </xf>
    <xf numFmtId="0" fontId="69" fillId="2" borderId="25" xfId="0" applyFont="1" applyFill="1" applyBorder="1" applyAlignment="1" applyProtection="1">
      <alignment horizontal="center" vertical="center" wrapText="1"/>
      <protection locked="0"/>
    </xf>
    <xf numFmtId="0" fontId="49" fillId="2" borderId="26" xfId="0" applyFont="1" applyFill="1" applyBorder="1" applyAlignment="1" applyProtection="1">
      <alignment horizontal="center" vertical="center" wrapText="1"/>
      <protection locked="0"/>
    </xf>
    <xf numFmtId="0" fontId="73" fillId="0" borderId="12" xfId="0" applyFont="1" applyBorder="1" applyAlignment="1">
      <alignment horizontal="center" vertical="center" wrapText="1"/>
    </xf>
    <xf numFmtId="0" fontId="56" fillId="0" borderId="12" xfId="0" applyFont="1" applyBorder="1" applyAlignment="1">
      <alignment horizontal="center" vertical="center" wrapText="1"/>
    </xf>
    <xf numFmtId="0" fontId="56" fillId="2" borderId="0" xfId="0" applyFont="1" applyFill="1" applyAlignment="1">
      <alignment horizontal="center" vertical="center" wrapText="1"/>
    </xf>
    <xf numFmtId="0" fontId="69" fillId="30" borderId="25" xfId="0" applyFont="1" applyFill="1" applyBorder="1" applyAlignment="1">
      <alignment horizontal="center" vertical="top" wrapText="1"/>
    </xf>
    <xf numFmtId="0" fontId="49" fillId="30" borderId="26" xfId="0" applyFont="1" applyFill="1" applyBorder="1" applyAlignment="1">
      <alignment horizontal="center" vertical="top" wrapText="1"/>
    </xf>
    <xf numFmtId="0" fontId="69" fillId="0" borderId="12" xfId="0" applyFont="1" applyBorder="1" applyAlignment="1">
      <alignment horizontal="center" vertical="center" wrapText="1"/>
    </xf>
    <xf numFmtId="0" fontId="49" fillId="0" borderId="12" xfId="0" applyFont="1" applyBorder="1" applyAlignment="1">
      <alignment horizontal="center" vertical="center" wrapText="1"/>
    </xf>
    <xf numFmtId="0" fontId="52" fillId="30" borderId="13" xfId="0" applyFont="1" applyFill="1" applyBorder="1" applyAlignment="1">
      <alignment wrapText="1"/>
    </xf>
    <xf numFmtId="0" fontId="66" fillId="30" borderId="14" xfId="0" applyFont="1" applyFill="1" applyBorder="1" applyAlignment="1">
      <alignment horizontal="center" vertical="center" wrapText="1"/>
    </xf>
    <xf numFmtId="0" fontId="49" fillId="30" borderId="15" xfId="0" applyFont="1" applyFill="1" applyBorder="1" applyAlignment="1">
      <alignment horizontal="center" vertical="center" wrapText="1"/>
    </xf>
    <xf numFmtId="0" fontId="69" fillId="2" borderId="21" xfId="0" applyFont="1" applyFill="1" applyBorder="1" applyAlignment="1" applyProtection="1">
      <alignment horizontal="center" vertical="center" wrapText="1"/>
      <protection locked="0"/>
    </xf>
    <xf numFmtId="0" fontId="49" fillId="33" borderId="29" xfId="0" applyFont="1" applyFill="1" applyBorder="1" applyAlignment="1" applyProtection="1">
      <alignment horizontal="center" vertical="center" wrapText="1"/>
      <protection locked="0"/>
    </xf>
    <xf numFmtId="0" fontId="67" fillId="0" borderId="2" xfId="0" applyFont="1" applyBorder="1" applyAlignment="1">
      <alignment wrapText="1"/>
    </xf>
    <xf numFmtId="0" fontId="69"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9" fillId="33" borderId="26" xfId="0" applyFont="1" applyFill="1" applyBorder="1" applyAlignment="1" applyProtection="1">
      <alignment horizontal="center" vertical="center" wrapText="1"/>
      <protection locked="0"/>
    </xf>
    <xf numFmtId="0" fontId="69" fillId="30" borderId="25" xfId="0" applyFont="1" applyFill="1" applyBorder="1" applyAlignment="1">
      <alignment horizontal="center" vertical="center" wrapText="1"/>
    </xf>
    <xf numFmtId="0" fontId="49" fillId="30" borderId="26" xfId="0" applyFont="1" applyFill="1" applyBorder="1" applyAlignment="1">
      <alignment horizontal="center" vertical="center" wrapText="1"/>
    </xf>
    <xf numFmtId="0" fontId="52" fillId="30" borderId="57" xfId="0" applyFont="1" applyFill="1" applyBorder="1" applyAlignment="1">
      <alignment vertical="top" wrapText="1"/>
    </xf>
    <xf numFmtId="0" fontId="66" fillId="30" borderId="35" xfId="0" applyFont="1" applyFill="1" applyBorder="1" applyAlignment="1">
      <alignment horizontal="center" vertical="center" wrapText="1"/>
    </xf>
    <xf numFmtId="0" fontId="66" fillId="30" borderId="58" xfId="0" applyFont="1" applyFill="1" applyBorder="1" applyAlignment="1">
      <alignment horizontal="center" vertical="center" wrapText="1"/>
    </xf>
    <xf numFmtId="0" fontId="49" fillId="30" borderId="36" xfId="0" applyFont="1" applyFill="1" applyBorder="1" applyAlignment="1">
      <alignment horizontal="center" vertical="center" wrapText="1"/>
    </xf>
    <xf numFmtId="0" fontId="52" fillId="30" borderId="50" xfId="0" applyFont="1" applyFill="1" applyBorder="1" applyAlignment="1">
      <alignment vertical="top" wrapText="1"/>
    </xf>
    <xf numFmtId="0" fontId="69" fillId="30" borderId="31" xfId="0" applyFont="1" applyFill="1" applyBorder="1" applyAlignment="1">
      <alignment horizontal="center" vertical="center" wrapText="1"/>
    </xf>
    <xf numFmtId="0" fontId="69" fillId="30" borderId="59" xfId="0" applyFont="1" applyFill="1" applyBorder="1" applyAlignment="1">
      <alignment horizontal="center" vertical="center" wrapText="1"/>
    </xf>
    <xf numFmtId="0" fontId="49" fillId="30" borderId="32" xfId="0" applyFont="1" applyFill="1" applyBorder="1" applyAlignment="1">
      <alignment horizontal="center" vertical="center" wrapText="1"/>
    </xf>
    <xf numFmtId="0" fontId="49" fillId="0" borderId="2" xfId="0" applyFont="1" applyBorder="1" applyAlignment="1">
      <alignment wrapText="1"/>
    </xf>
    <xf numFmtId="0" fontId="69" fillId="0" borderId="1" xfId="0" applyFont="1" applyBorder="1" applyAlignment="1" applyProtection="1">
      <alignment horizontal="center" vertical="center" wrapText="1"/>
      <protection locked="0"/>
    </xf>
    <xf numFmtId="0" fontId="69" fillId="0" borderId="5"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9" fillId="0" borderId="2" xfId="0" applyFont="1" applyBorder="1" applyAlignment="1">
      <alignment vertical="top" wrapText="1"/>
    </xf>
    <xf numFmtId="0" fontId="69" fillId="0" borderId="5" xfId="0" applyFont="1" applyBorder="1" applyAlignment="1">
      <alignment horizontal="center" vertical="center" wrapText="1"/>
    </xf>
    <xf numFmtId="0" fontId="69" fillId="0" borderId="14" xfId="0" applyFont="1" applyBorder="1" applyAlignment="1" applyProtection="1">
      <alignment horizontal="center" vertical="center" wrapText="1"/>
      <protection locked="0"/>
    </xf>
    <xf numFmtId="0" fontId="49" fillId="0" borderId="15" xfId="0" applyFont="1" applyBorder="1" applyAlignment="1" applyProtection="1">
      <alignment horizontal="center" vertical="center" wrapText="1"/>
      <protection locked="0"/>
    </xf>
    <xf numFmtId="0" fontId="69" fillId="0" borderId="21" xfId="0" applyFont="1" applyBorder="1" applyAlignment="1" applyProtection="1">
      <alignment horizontal="center" vertical="center" wrapText="1"/>
      <protection locked="0"/>
    </xf>
    <xf numFmtId="0" fontId="49" fillId="0" borderId="29" xfId="0" applyFont="1" applyBorder="1" applyAlignment="1" applyProtection="1">
      <alignment horizontal="center" vertical="center" wrapText="1"/>
      <protection locked="0"/>
    </xf>
    <xf numFmtId="0" fontId="69" fillId="0" borderId="25" xfId="0" applyFont="1" applyBorder="1" applyAlignment="1" applyProtection="1">
      <alignment horizontal="center" vertical="center" wrapText="1"/>
      <protection locked="0"/>
    </xf>
    <xf numFmtId="0" fontId="49" fillId="0" borderId="26" xfId="0" applyFont="1" applyBorder="1" applyAlignment="1" applyProtection="1">
      <alignment horizontal="center" vertical="center" wrapText="1"/>
      <protection locked="0"/>
    </xf>
    <xf numFmtId="0" fontId="49" fillId="0" borderId="13" xfId="0" applyFont="1" applyBorder="1" applyAlignment="1">
      <alignment vertical="top" wrapText="1"/>
    </xf>
    <xf numFmtId="0" fontId="49" fillId="0" borderId="18" xfId="0" applyFont="1" applyBorder="1" applyAlignment="1">
      <alignment vertical="top" wrapText="1"/>
    </xf>
    <xf numFmtId="0" fontId="49" fillId="0" borderId="19" xfId="0" applyFont="1" applyBorder="1" applyAlignment="1" applyProtection="1">
      <alignment horizontal="center" vertical="center" wrapText="1"/>
      <protection locked="0"/>
    </xf>
    <xf numFmtId="0" fontId="49" fillId="0" borderId="21"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24" xfId="0" applyFont="1" applyBorder="1" applyAlignment="1">
      <alignment wrapText="1"/>
    </xf>
    <xf numFmtId="0" fontId="49" fillId="0" borderId="25" xfId="0" applyFont="1" applyBorder="1" applyAlignment="1">
      <alignment horizontal="center" vertical="center" wrapText="1"/>
    </xf>
    <xf numFmtId="0" fontId="69" fillId="0" borderId="0" xfId="0" applyFont="1" applyAlignment="1">
      <alignment horizontal="center" vertical="center" wrapText="1"/>
    </xf>
    <xf numFmtId="0" fontId="49" fillId="29" borderId="54" xfId="0" applyFont="1" applyFill="1" applyBorder="1" applyAlignment="1">
      <alignment horizontal="left" wrapText="1"/>
    </xf>
    <xf numFmtId="0" fontId="49" fillId="29" borderId="6" xfId="0" applyFont="1" applyFill="1" applyBorder="1" applyAlignment="1" applyProtection="1">
      <alignment horizontal="left" wrapText="1"/>
      <protection locked="0"/>
    </xf>
    <xf numFmtId="0" fontId="49" fillId="29" borderId="31" xfId="0" applyFont="1" applyFill="1" applyBorder="1" applyAlignment="1">
      <alignment horizontal="left" wrapText="1"/>
    </xf>
    <xf numFmtId="0" fontId="49" fillId="29" borderId="31" xfId="0" applyFont="1" applyFill="1" applyBorder="1" applyAlignment="1">
      <alignment horizontal="right" vertical="center" wrapText="1"/>
    </xf>
    <xf numFmtId="0" fontId="49" fillId="29" borderId="32" xfId="0" applyFont="1" applyFill="1" applyBorder="1" applyAlignment="1">
      <alignment horizontal="right" wrapText="1"/>
    </xf>
    <xf numFmtId="0" fontId="49" fillId="0" borderId="0" xfId="0" applyFont="1" applyAlignment="1">
      <alignment horizontal="left" wrapText="1"/>
    </xf>
    <xf numFmtId="0" fontId="49" fillId="0" borderId="0" xfId="0" applyFont="1" applyAlignment="1">
      <alignment horizontal="right" vertical="center" wrapText="1"/>
    </xf>
    <xf numFmtId="0" fontId="0" fillId="0" borderId="0" xfId="0" applyAlignment="1">
      <alignment wrapText="1"/>
    </xf>
    <xf numFmtId="0" fontId="0" fillId="2" borderId="0" xfId="0" applyFill="1" applyAlignment="1">
      <alignment horizontal="center" wrapText="1"/>
    </xf>
    <xf numFmtId="0" fontId="0" fillId="2" borderId="0" xfId="0" applyFill="1" applyAlignment="1">
      <alignment wrapText="1"/>
    </xf>
    <xf numFmtId="168" fontId="49" fillId="29" borderId="54" xfId="0" applyNumberFormat="1" applyFont="1" applyFill="1" applyBorder="1" applyAlignment="1">
      <alignment horizontal="center" wrapText="1"/>
    </xf>
    <xf numFmtId="168" fontId="49" fillId="29" borderId="6" xfId="0" applyNumberFormat="1" applyFont="1" applyFill="1" applyBorder="1" applyAlignment="1">
      <alignment horizontal="center" wrapText="1"/>
    </xf>
    <xf numFmtId="168" fontId="49" fillId="29" borderId="11" xfId="0" applyNumberFormat="1" applyFont="1" applyFill="1" applyBorder="1" applyAlignment="1">
      <alignment horizontal="center" wrapText="1"/>
    </xf>
    <xf numFmtId="168" fontId="49" fillId="29" borderId="17" xfId="0" applyNumberFormat="1" applyFont="1" applyFill="1" applyBorder="1" applyAlignment="1">
      <alignment horizontal="center" wrapText="1"/>
    </xf>
    <xf numFmtId="0" fontId="65" fillId="0" borderId="0" xfId="0" applyFont="1" applyAlignment="1">
      <alignment wrapText="1"/>
    </xf>
    <xf numFmtId="0" fontId="49" fillId="0" borderId="0" xfId="0" applyFont="1" applyAlignment="1">
      <alignment horizontal="center"/>
    </xf>
    <xf numFmtId="0" fontId="75" fillId="0" borderId="0" xfId="0" applyFont="1" applyAlignment="1">
      <alignment horizontal="center" wrapText="1"/>
    </xf>
    <xf numFmtId="0" fontId="65" fillId="0" borderId="0" xfId="0" applyFont="1" applyAlignment="1">
      <alignment horizontal="center" wrapText="1"/>
    </xf>
    <xf numFmtId="0" fontId="49" fillId="30" borderId="42" xfId="0" applyFont="1" applyFill="1" applyBorder="1" applyAlignment="1">
      <alignment wrapText="1"/>
    </xf>
    <xf numFmtId="0" fontId="49" fillId="30" borderId="50" xfId="0" applyFont="1" applyFill="1" applyBorder="1" applyAlignment="1">
      <alignment wrapText="1"/>
    </xf>
    <xf numFmtId="0" fontId="50" fillId="30" borderId="21" xfId="0" applyFont="1" applyFill="1" applyBorder="1" applyAlignment="1">
      <alignment horizontal="center" vertical="center" wrapText="1"/>
    </xf>
    <xf numFmtId="0" fontId="50" fillId="30" borderId="29" xfId="0" applyFont="1" applyFill="1" applyBorder="1" applyAlignment="1">
      <alignment horizontal="center" vertical="center" wrapText="1"/>
    </xf>
    <xf numFmtId="0" fontId="50" fillId="30" borderId="60" xfId="0" applyFont="1" applyFill="1" applyBorder="1" applyAlignment="1">
      <alignment horizontal="center" wrapText="1"/>
    </xf>
    <xf numFmtId="0" fontId="50" fillId="30" borderId="61" xfId="0" applyFont="1" applyFill="1" applyBorder="1" applyAlignment="1">
      <alignment horizontal="center" wrapText="1"/>
    </xf>
    <xf numFmtId="0" fontId="77" fillId="0" borderId="3" xfId="0" applyFont="1" applyBorder="1" applyAlignment="1">
      <alignment wrapText="1"/>
    </xf>
    <xf numFmtId="0" fontId="0" fillId="0" borderId="47" xfId="0" applyBorder="1" applyAlignment="1">
      <alignment wrapText="1"/>
    </xf>
    <xf numFmtId="0" fontId="77" fillId="0" borderId="12" xfId="0" applyFont="1" applyBorder="1" applyAlignment="1">
      <alignment wrapText="1"/>
    </xf>
    <xf numFmtId="0" fontId="0" fillId="0" borderId="53" xfId="0" applyBorder="1" applyAlignment="1">
      <alignment wrapText="1"/>
    </xf>
    <xf numFmtId="0" fontId="77" fillId="0" borderId="1" xfId="0" applyFont="1" applyBorder="1" applyAlignment="1">
      <alignment wrapText="1"/>
    </xf>
    <xf numFmtId="0" fontId="0" fillId="0" borderId="5" xfId="0" applyBorder="1" applyAlignment="1">
      <alignment wrapText="1"/>
    </xf>
    <xf numFmtId="0" fontId="77" fillId="0" borderId="4" xfId="0" applyFont="1" applyBorder="1" applyAlignment="1">
      <alignment wrapText="1"/>
    </xf>
    <xf numFmtId="0" fontId="0" fillId="0" borderId="7" xfId="0" applyBorder="1" applyAlignment="1">
      <alignment wrapText="1"/>
    </xf>
    <xf numFmtId="0" fontId="52" fillId="3" borderId="57" xfId="0" applyFont="1" applyFill="1" applyBorder="1" applyAlignment="1">
      <alignment wrapText="1"/>
    </xf>
    <xf numFmtId="0" fontId="66" fillId="3" borderId="58" xfId="0" applyFont="1" applyFill="1" applyBorder="1" applyAlignment="1">
      <alignment horizontal="center" vertical="center" wrapText="1"/>
    </xf>
    <xf numFmtId="0" fontId="66" fillId="3" borderId="62" xfId="0" applyFont="1" applyFill="1" applyBorder="1" applyAlignment="1">
      <alignment horizontal="center" vertical="center" wrapText="1"/>
    </xf>
    <xf numFmtId="0" fontId="66" fillId="3" borderId="49" xfId="0" applyFont="1" applyFill="1" applyBorder="1" applyAlignment="1">
      <alignment horizontal="center" vertical="center" wrapText="1"/>
    </xf>
    <xf numFmtId="0" fontId="52" fillId="30" borderId="24" xfId="0" applyFont="1" applyFill="1" applyBorder="1" applyAlignment="1">
      <alignment wrapText="1"/>
    </xf>
    <xf numFmtId="0" fontId="69" fillId="30" borderId="26" xfId="0" applyFont="1" applyFill="1" applyBorder="1" applyAlignment="1">
      <alignment horizontal="center" vertical="center" wrapText="1"/>
    </xf>
    <xf numFmtId="0" fontId="69" fillId="30" borderId="52" xfId="0" applyFont="1" applyFill="1" applyBorder="1" applyAlignment="1">
      <alignment horizontal="center" vertical="center" wrapText="1"/>
    </xf>
    <xf numFmtId="0" fontId="49" fillId="0" borderId="27" xfId="0" applyFont="1" applyBorder="1" applyAlignment="1">
      <alignment wrapText="1"/>
    </xf>
    <xf numFmtId="0" fontId="69" fillId="2" borderId="3" xfId="0" applyFont="1" applyFill="1" applyBorder="1" applyAlignment="1" applyProtection="1">
      <alignment horizontal="center" vertical="center" wrapText="1"/>
      <protection locked="0"/>
    </xf>
    <xf numFmtId="0" fontId="69" fillId="29" borderId="3" xfId="0" applyFont="1" applyFill="1" applyBorder="1" applyAlignment="1">
      <alignment horizontal="center" vertical="center" wrapText="1"/>
    </xf>
    <xf numFmtId="0" fontId="69" fillId="29" borderId="28" xfId="0" applyFont="1" applyFill="1" applyBorder="1" applyAlignment="1">
      <alignment horizontal="center" vertical="center" wrapText="1"/>
    </xf>
    <xf numFmtId="0" fontId="69" fillId="2" borderId="63" xfId="0" applyFont="1" applyFill="1" applyBorder="1" applyAlignment="1" applyProtection="1">
      <alignment horizontal="center" vertical="center" wrapText="1"/>
      <protection locked="0"/>
    </xf>
    <xf numFmtId="0" fontId="69" fillId="2" borderId="1" xfId="0" applyFont="1" applyFill="1" applyBorder="1" applyAlignment="1" applyProtection="1">
      <alignment horizontal="center" vertical="center" wrapText="1"/>
      <protection locked="0"/>
    </xf>
    <xf numFmtId="0" fontId="69" fillId="29" borderId="1" xfId="0" applyFont="1" applyFill="1" applyBorder="1" applyAlignment="1">
      <alignment horizontal="center" vertical="center" wrapText="1"/>
    </xf>
    <xf numFmtId="0" fontId="69" fillId="29" borderId="19" xfId="0" applyFont="1" applyFill="1" applyBorder="1" applyAlignment="1">
      <alignment horizontal="center" vertical="center" wrapText="1"/>
    </xf>
    <xf numFmtId="0" fontId="69" fillId="2" borderId="64" xfId="0" applyFont="1" applyFill="1" applyBorder="1" applyAlignment="1" applyProtection="1">
      <alignment horizontal="center" vertical="center" wrapText="1"/>
      <protection locked="0"/>
    </xf>
    <xf numFmtId="0" fontId="69" fillId="29" borderId="21" xfId="0" applyFont="1" applyFill="1" applyBorder="1" applyAlignment="1">
      <alignment horizontal="center" vertical="center" wrapText="1"/>
    </xf>
    <xf numFmtId="0" fontId="69" fillId="29" borderId="29" xfId="0" applyFont="1" applyFill="1" applyBorder="1" applyAlignment="1">
      <alignment horizontal="center" vertical="center" wrapText="1"/>
    </xf>
    <xf numFmtId="0" fontId="69" fillId="2" borderId="65" xfId="0" applyFont="1" applyFill="1" applyBorder="1" applyAlignment="1" applyProtection="1">
      <alignment horizontal="center" vertical="center" wrapText="1"/>
      <protection locked="0"/>
    </xf>
    <xf numFmtId="0" fontId="69" fillId="29" borderId="25" xfId="0" applyFont="1" applyFill="1" applyBorder="1" applyAlignment="1">
      <alignment horizontal="center" vertical="center" wrapText="1"/>
    </xf>
    <xf numFmtId="0" fontId="69" fillId="0" borderId="26" xfId="0" applyFont="1" applyBorder="1" applyAlignment="1" applyProtection="1">
      <alignment horizontal="center" vertical="center" wrapText="1"/>
      <protection locked="0"/>
    </xf>
    <xf numFmtId="0" fontId="69" fillId="0" borderId="52" xfId="0" applyFont="1" applyBorder="1" applyAlignment="1" applyProtection="1">
      <alignment horizontal="center" vertical="center" wrapText="1"/>
      <protection locked="0"/>
    </xf>
    <xf numFmtId="0" fontId="69" fillId="29" borderId="26" xfId="0" applyFont="1" applyFill="1" applyBorder="1" applyAlignment="1">
      <alignment horizontal="center" vertical="center" wrapText="1"/>
    </xf>
    <xf numFmtId="0" fontId="69" fillId="29" borderId="52" xfId="0" applyFont="1" applyFill="1" applyBorder="1" applyAlignment="1">
      <alignment horizontal="center" vertical="center" wrapText="1"/>
    </xf>
    <xf numFmtId="0" fontId="69" fillId="2" borderId="14" xfId="0" applyFont="1" applyFill="1" applyBorder="1" applyAlignment="1" applyProtection="1">
      <alignment horizontal="center" vertical="center" wrapText="1"/>
      <protection locked="0"/>
    </xf>
    <xf numFmtId="0" fontId="69" fillId="29" borderId="14" xfId="0" applyFont="1" applyFill="1" applyBorder="1" applyAlignment="1">
      <alignment horizontal="center" vertical="center" wrapText="1"/>
    </xf>
    <xf numFmtId="0" fontId="69" fillId="2" borderId="15" xfId="0" applyFont="1" applyFill="1" applyBorder="1" applyAlignment="1" applyProtection="1">
      <alignment horizontal="center" vertical="center" wrapText="1"/>
      <protection locked="0"/>
    </xf>
    <xf numFmtId="0" fontId="69" fillId="0" borderId="66" xfId="0" applyFont="1" applyBorder="1" applyAlignment="1" applyProtection="1">
      <alignment horizontal="center" vertical="center" wrapText="1"/>
      <protection locked="0"/>
    </xf>
    <xf numFmtId="0" fontId="69" fillId="2" borderId="19" xfId="0" applyFont="1" applyFill="1" applyBorder="1" applyAlignment="1" applyProtection="1">
      <alignment horizontal="center" vertical="center" wrapText="1"/>
      <protection locked="0"/>
    </xf>
    <xf numFmtId="0" fontId="69" fillId="0" borderId="64" xfId="0" applyFont="1" applyBorder="1" applyAlignment="1" applyProtection="1">
      <alignment horizontal="center" vertical="center" wrapText="1"/>
      <protection locked="0"/>
    </xf>
    <xf numFmtId="0" fontId="69" fillId="2" borderId="29" xfId="0" applyFont="1" applyFill="1" applyBorder="1" applyAlignment="1" applyProtection="1">
      <alignment horizontal="center" vertical="center" wrapText="1"/>
      <protection locked="0"/>
    </xf>
    <xf numFmtId="0" fontId="69" fillId="0" borderId="65" xfId="0" applyFont="1" applyBorder="1" applyAlignment="1" applyProtection="1">
      <alignment horizontal="center" vertical="center" wrapText="1"/>
      <protection locked="0"/>
    </xf>
    <xf numFmtId="0" fontId="49" fillId="0" borderId="20" xfId="0" applyFont="1" applyBorder="1" applyAlignment="1">
      <alignment wrapText="1"/>
    </xf>
    <xf numFmtId="0" fontId="50" fillId="30" borderId="50" xfId="0" applyFont="1" applyFill="1" applyBorder="1" applyAlignment="1">
      <alignment vertical="top" wrapText="1"/>
    </xf>
    <xf numFmtId="0" fontId="69" fillId="30" borderId="67" xfId="0" applyFont="1" applyFill="1" applyBorder="1" applyAlignment="1">
      <alignment horizontal="center" vertical="center" wrapText="1"/>
    </xf>
    <xf numFmtId="0" fontId="69" fillId="30" borderId="68" xfId="0" applyFont="1" applyFill="1" applyBorder="1" applyAlignment="1">
      <alignment horizontal="center" vertical="center" wrapText="1"/>
    </xf>
    <xf numFmtId="0" fontId="49" fillId="29" borderId="24" xfId="0" applyFont="1" applyFill="1" applyBorder="1" applyAlignment="1">
      <alignment vertical="top" wrapText="1"/>
    </xf>
    <xf numFmtId="0" fontId="49" fillId="29" borderId="20" xfId="0" applyFont="1" applyFill="1" applyBorder="1" applyAlignment="1">
      <alignment vertical="top" wrapText="1"/>
    </xf>
    <xf numFmtId="0" fontId="69" fillId="29" borderId="65" xfId="0" applyFont="1" applyFill="1" applyBorder="1" applyAlignment="1">
      <alignment horizontal="center" vertical="center" wrapText="1"/>
    </xf>
    <xf numFmtId="0" fontId="50" fillId="30" borderId="18" xfId="0" applyFont="1" applyFill="1" applyBorder="1" applyAlignment="1">
      <alignment wrapText="1"/>
    </xf>
    <xf numFmtId="0" fontId="69" fillId="30" borderId="19" xfId="0" applyFont="1" applyFill="1" applyBorder="1" applyAlignment="1">
      <alignment horizontal="center" vertical="center" wrapText="1"/>
    </xf>
    <xf numFmtId="0" fontId="69" fillId="30" borderId="64" xfId="0" applyFont="1" applyFill="1" applyBorder="1" applyAlignment="1">
      <alignment horizontal="center" vertical="center" wrapText="1"/>
    </xf>
    <xf numFmtId="0" fontId="69" fillId="0" borderId="29" xfId="0" applyFont="1" applyBorder="1" applyAlignment="1" applyProtection="1">
      <alignment horizontal="center" vertical="center" wrapText="1"/>
      <protection locked="0"/>
    </xf>
    <xf numFmtId="0" fontId="49" fillId="0" borderId="49" xfId="0" applyFont="1" applyBorder="1" applyAlignment="1" applyProtection="1">
      <alignment wrapText="1"/>
      <protection locked="0"/>
    </xf>
    <xf numFmtId="0" fontId="49" fillId="0" borderId="68" xfId="0" applyFont="1" applyBorder="1" applyAlignment="1" applyProtection="1">
      <alignment wrapText="1"/>
      <protection locked="0"/>
    </xf>
    <xf numFmtId="0" fontId="49" fillId="0" borderId="52" xfId="0" applyFont="1" applyBorder="1" applyAlignment="1" applyProtection="1">
      <alignment wrapText="1"/>
      <protection locked="0"/>
    </xf>
    <xf numFmtId="0" fontId="49" fillId="29" borderId="52" xfId="0" applyFont="1" applyFill="1" applyBorder="1" applyAlignment="1">
      <alignment wrapText="1"/>
    </xf>
    <xf numFmtId="0" fontId="67" fillId="0" borderId="1" xfId="0" applyFont="1" applyBorder="1" applyAlignment="1">
      <alignment wrapText="1"/>
    </xf>
    <xf numFmtId="0" fontId="0" fillId="29" borderId="0" xfId="0" applyFill="1" applyAlignment="1">
      <alignment wrapText="1"/>
    </xf>
    <xf numFmtId="0" fontId="69" fillId="30" borderId="14" xfId="0" applyFont="1" applyFill="1" applyBorder="1" applyAlignment="1">
      <alignment horizontal="center" vertical="center" wrapText="1"/>
    </xf>
    <xf numFmtId="0" fontId="69" fillId="30" borderId="15" xfId="0" applyFont="1" applyFill="1" applyBorder="1" applyAlignment="1">
      <alignment horizontal="center" vertical="center" wrapText="1"/>
    </xf>
    <xf numFmtId="0" fontId="69" fillId="30" borderId="66" xfId="0" applyFont="1" applyFill="1" applyBorder="1" applyAlignment="1">
      <alignment horizontal="center" vertical="center" wrapText="1"/>
    </xf>
    <xf numFmtId="0" fontId="77" fillId="0" borderId="1" xfId="0" applyFont="1" applyBorder="1" applyAlignment="1" applyProtection="1">
      <alignment wrapText="1"/>
      <protection locked="0"/>
    </xf>
    <xf numFmtId="0" fontId="0" fillId="0" borderId="5" xfId="0" applyBorder="1" applyAlignment="1" applyProtection="1">
      <alignment wrapText="1"/>
      <protection locked="0"/>
    </xf>
    <xf numFmtId="0" fontId="0" fillId="0" borderId="63" xfId="0" applyBorder="1" applyAlignment="1" applyProtection="1">
      <alignment wrapText="1"/>
      <protection locked="0"/>
    </xf>
    <xf numFmtId="0" fontId="49" fillId="29" borderId="13" xfId="0" applyFont="1" applyFill="1" applyBorder="1" applyAlignment="1">
      <alignment wrapText="1"/>
    </xf>
    <xf numFmtId="0" fontId="49" fillId="0" borderId="45" xfId="0" applyFont="1" applyBorder="1" applyAlignment="1" applyProtection="1">
      <alignment wrapText="1"/>
      <protection locked="0"/>
    </xf>
    <xf numFmtId="0" fontId="0" fillId="0" borderId="45" xfId="0" applyBorder="1" applyAlignment="1" applyProtection="1">
      <alignment wrapText="1"/>
      <protection locked="0"/>
    </xf>
    <xf numFmtId="0" fontId="52" fillId="3" borderId="24" xfId="0" applyFont="1" applyFill="1" applyBorder="1" applyAlignment="1">
      <alignment vertical="top" wrapText="1"/>
    </xf>
    <xf numFmtId="0" fontId="66" fillId="3" borderId="25" xfId="0" applyFont="1" applyFill="1" applyBorder="1" applyAlignment="1">
      <alignment horizontal="center" vertical="center" wrapText="1"/>
    </xf>
    <xf numFmtId="0" fontId="69" fillId="3" borderId="26" xfId="0" applyFont="1" applyFill="1" applyBorder="1" applyAlignment="1">
      <alignment horizontal="center" vertical="center" wrapText="1"/>
    </xf>
    <xf numFmtId="0" fontId="69" fillId="3" borderId="52" xfId="0" applyFont="1" applyFill="1" applyBorder="1" applyAlignment="1">
      <alignment horizontal="center" vertical="center" wrapText="1"/>
    </xf>
    <xf numFmtId="0" fontId="52" fillId="30" borderId="13" xfId="0" applyFont="1" applyFill="1" applyBorder="1" applyAlignment="1">
      <alignment vertical="top" wrapText="1"/>
    </xf>
    <xf numFmtId="0" fontId="49" fillId="29" borderId="52" xfId="0" applyFont="1" applyFill="1" applyBorder="1" applyAlignment="1">
      <alignment vertical="top" wrapText="1"/>
    </xf>
    <xf numFmtId="0" fontId="77" fillId="0" borderId="2" xfId="0" applyFont="1" applyBorder="1" applyAlignment="1" applyProtection="1">
      <alignment wrapText="1"/>
      <protection locked="0"/>
    </xf>
    <xf numFmtId="0" fontId="80" fillId="0" borderId="0" xfId="0" applyFont="1" applyAlignment="1">
      <alignment horizontal="center" wrapText="1"/>
    </xf>
    <xf numFmtId="0" fontId="49" fillId="0" borderId="66" xfId="0" applyFont="1" applyBorder="1" applyAlignment="1">
      <alignment wrapText="1"/>
    </xf>
    <xf numFmtId="0" fontId="49" fillId="0" borderId="64" xfId="0" applyFont="1" applyBorder="1" applyAlignment="1">
      <alignment wrapText="1"/>
    </xf>
    <xf numFmtId="0" fontId="49" fillId="0" borderId="65" xfId="0" applyFont="1" applyBorder="1" applyAlignment="1">
      <alignment vertical="top" wrapText="1"/>
    </xf>
    <xf numFmtId="0" fontId="49" fillId="29" borderId="66" xfId="0" applyFont="1" applyFill="1" applyBorder="1" applyAlignment="1">
      <alignment wrapText="1"/>
    </xf>
    <xf numFmtId="0" fontId="69" fillId="0" borderId="23" xfId="0" applyFont="1" applyBorder="1" applyAlignment="1" applyProtection="1">
      <alignment horizontal="center" vertical="center" wrapText="1"/>
      <protection locked="0"/>
    </xf>
    <xf numFmtId="0" fontId="49" fillId="0" borderId="52" xfId="0" applyFont="1" applyBorder="1" applyAlignment="1">
      <alignment wrapText="1"/>
    </xf>
    <xf numFmtId="0" fontId="77" fillId="0" borderId="2" xfId="0" applyFont="1" applyBorder="1" applyAlignment="1">
      <alignment wrapText="1"/>
    </xf>
    <xf numFmtId="0" fontId="66" fillId="29" borderId="14" xfId="0" applyFont="1" applyFill="1" applyBorder="1" applyAlignment="1">
      <alignment horizontal="center" vertical="center" wrapText="1"/>
    </xf>
    <xf numFmtId="0" fontId="66" fillId="29" borderId="15" xfId="0" applyFont="1" applyFill="1" applyBorder="1" applyAlignment="1">
      <alignment horizontal="center" vertical="center" wrapText="1"/>
    </xf>
    <xf numFmtId="0" fontId="66" fillId="29" borderId="66" xfId="0" applyFont="1" applyFill="1" applyBorder="1" applyAlignment="1">
      <alignment horizontal="center" vertical="center" wrapText="1"/>
    </xf>
    <xf numFmtId="0" fontId="49" fillId="29" borderId="18" xfId="0" applyFont="1" applyFill="1" applyBorder="1" applyAlignment="1">
      <alignment wrapText="1"/>
    </xf>
    <xf numFmtId="0" fontId="0" fillId="0" borderId="0" xfId="0" applyAlignment="1">
      <alignment horizontal="center"/>
    </xf>
    <xf numFmtId="0" fontId="82" fillId="29" borderId="5" xfId="0" applyFont="1" applyFill="1" applyBorder="1" applyAlignment="1">
      <alignment horizontal="center" vertical="center" wrapText="1"/>
    </xf>
    <xf numFmtId="0" fontId="69" fillId="29" borderId="64" xfId="0" applyFont="1" applyFill="1" applyBorder="1" applyAlignment="1">
      <alignment horizontal="center" vertical="center" wrapText="1"/>
    </xf>
    <xf numFmtId="0" fontId="82" fillId="30" borderId="5" xfId="0" applyFont="1" applyFill="1" applyBorder="1" applyAlignment="1">
      <alignment horizontal="center" vertical="center" wrapText="1"/>
    </xf>
    <xf numFmtId="0" fontId="49" fillId="2" borderId="26" xfId="0" applyFont="1" applyFill="1" applyBorder="1" applyProtection="1">
      <protection locked="0"/>
    </xf>
    <xf numFmtId="0" fontId="69" fillId="2" borderId="26" xfId="0" applyFont="1" applyFill="1" applyBorder="1" applyAlignment="1" applyProtection="1">
      <alignment horizontal="center" vertical="center" wrapText="1"/>
      <protection locked="0"/>
    </xf>
    <xf numFmtId="0" fontId="49" fillId="29" borderId="68" xfId="0" applyFont="1" applyFill="1" applyBorder="1" applyAlignment="1">
      <alignment wrapText="1"/>
    </xf>
    <xf numFmtId="0" fontId="69" fillId="29" borderId="15" xfId="0" applyFont="1" applyFill="1" applyBorder="1" applyAlignment="1">
      <alignment horizontal="center" vertical="center" wrapText="1"/>
    </xf>
    <xf numFmtId="0" fontId="69" fillId="29" borderId="29" xfId="0" applyFont="1" applyFill="1" applyBorder="1" applyAlignment="1" applyProtection="1">
      <alignment horizontal="center" vertical="center" wrapText="1"/>
      <protection locked="0"/>
    </xf>
    <xf numFmtId="0" fontId="49" fillId="29" borderId="68" xfId="0" applyFont="1" applyFill="1" applyBorder="1" applyAlignment="1" applyProtection="1">
      <alignment wrapText="1"/>
      <protection locked="0"/>
    </xf>
    <xf numFmtId="0" fontId="52" fillId="29" borderId="20" xfId="0" applyFont="1" applyFill="1" applyBorder="1" applyAlignment="1">
      <alignment vertical="top" wrapText="1"/>
    </xf>
    <xf numFmtId="0" fontId="52" fillId="29" borderId="13" xfId="0" applyFont="1" applyFill="1" applyBorder="1" applyAlignment="1">
      <alignment wrapText="1"/>
    </xf>
    <xf numFmtId="0" fontId="69" fillId="29" borderId="66" xfId="0" applyFont="1" applyFill="1" applyBorder="1" applyAlignment="1">
      <alignment horizontal="center" vertical="center" wrapText="1"/>
    </xf>
    <xf numFmtId="0" fontId="0" fillId="0" borderId="0" xfId="0" applyAlignment="1" applyProtection="1">
      <alignment wrapText="1"/>
      <protection locked="0"/>
    </xf>
    <xf numFmtId="0" fontId="49" fillId="0" borderId="57" xfId="0" applyFont="1" applyBorder="1" applyAlignment="1">
      <alignment wrapText="1"/>
    </xf>
    <xf numFmtId="0" fontId="49" fillId="0" borderId="39" xfId="0" applyFont="1" applyBorder="1" applyAlignment="1">
      <alignment vertical="top" wrapText="1"/>
    </xf>
    <xf numFmtId="0" fontId="69" fillId="2" borderId="1" xfId="0" applyFont="1" applyFill="1" applyBorder="1" applyAlignment="1">
      <alignment horizontal="center" vertical="center" wrapText="1"/>
    </xf>
    <xf numFmtId="0" fontId="49" fillId="0" borderId="1" xfId="0" applyFont="1" applyBorder="1" applyAlignment="1">
      <alignment wrapText="1"/>
    </xf>
    <xf numFmtId="0" fontId="49" fillId="0" borderId="56" xfId="0" applyFont="1" applyBorder="1" applyAlignment="1">
      <alignment wrapText="1"/>
    </xf>
    <xf numFmtId="0" fontId="49" fillId="0" borderId="1" xfId="0" applyFont="1" applyBorder="1" applyAlignment="1" applyProtection="1">
      <alignment wrapText="1"/>
      <protection locked="0"/>
    </xf>
    <xf numFmtId="0" fontId="69" fillId="30" borderId="3" xfId="0" applyFont="1" applyFill="1" applyBorder="1" applyAlignment="1">
      <alignment horizontal="center" vertical="center" wrapText="1"/>
    </xf>
    <xf numFmtId="0" fontId="69" fillId="30" borderId="28" xfId="0" applyFont="1" applyFill="1" applyBorder="1" applyAlignment="1">
      <alignment horizontal="center" vertical="center" wrapText="1"/>
    </xf>
    <xf numFmtId="0" fontId="69" fillId="30" borderId="63" xfId="0" applyFont="1" applyFill="1" applyBorder="1" applyAlignment="1">
      <alignment horizontal="center" vertical="center" wrapText="1"/>
    </xf>
    <xf numFmtId="0" fontId="82" fillId="30" borderId="1" xfId="0" applyFont="1" applyFill="1" applyBorder="1" applyAlignment="1">
      <alignment horizontal="center" vertical="center" wrapText="1"/>
    </xf>
    <xf numFmtId="0" fontId="66" fillId="30" borderId="15" xfId="0" applyFont="1" applyFill="1" applyBorder="1" applyAlignment="1">
      <alignment horizontal="center" vertical="center" wrapText="1"/>
    </xf>
    <xf numFmtId="0" fontId="66" fillId="30" borderId="66" xfId="0" applyFont="1" applyFill="1" applyBorder="1" applyAlignment="1">
      <alignment horizontal="center" vertical="center" wrapText="1"/>
    </xf>
    <xf numFmtId="0" fontId="0" fillId="0" borderId="12" xfId="0" applyBorder="1" applyAlignment="1">
      <alignment wrapText="1"/>
    </xf>
    <xf numFmtId="14" fontId="49" fillId="29" borderId="54" xfId="0" applyNumberFormat="1" applyFont="1" applyFill="1" applyBorder="1" applyAlignment="1" applyProtection="1">
      <alignment horizontal="left" wrapText="1"/>
      <protection locked="0"/>
    </xf>
    <xf numFmtId="0" fontId="49" fillId="29" borderId="55" xfId="0" applyFont="1" applyFill="1" applyBorder="1" applyAlignment="1" applyProtection="1">
      <alignment horizontal="left" wrapText="1"/>
      <protection locked="0"/>
    </xf>
    <xf numFmtId="0" fontId="49" fillId="29" borderId="6" xfId="0" applyFont="1" applyFill="1" applyBorder="1" applyAlignment="1">
      <alignment horizontal="left" wrapText="1"/>
    </xf>
    <xf numFmtId="0" fontId="49" fillId="29" borderId="0" xfId="0" applyFont="1" applyFill="1" applyAlignment="1">
      <alignment horizontal="right" vertical="center" wrapText="1"/>
    </xf>
    <xf numFmtId="0" fontId="49" fillId="29" borderId="0" xfId="0" applyFont="1" applyFill="1" applyAlignment="1">
      <alignment horizontal="left" wrapText="1"/>
    </xf>
    <xf numFmtId="0" fontId="49" fillId="29" borderId="37" xfId="0" applyFont="1" applyFill="1" applyBorder="1" applyAlignment="1">
      <alignment horizontal="left" wrapText="1"/>
    </xf>
    <xf numFmtId="0" fontId="49" fillId="29" borderId="11" xfId="0" applyFont="1" applyFill="1" applyBorder="1" applyAlignment="1">
      <alignment horizontal="left" wrapText="1"/>
    </xf>
    <xf numFmtId="0" fontId="49" fillId="29" borderId="11" xfId="0" applyFont="1" applyFill="1" applyBorder="1" applyAlignment="1" applyProtection="1">
      <alignment horizontal="left" wrapText="1"/>
      <protection locked="0"/>
    </xf>
    <xf numFmtId="0" fontId="49" fillId="29" borderId="44" xfId="0" applyFont="1" applyFill="1" applyBorder="1" applyAlignment="1" applyProtection="1">
      <alignment horizontal="left" wrapText="1"/>
      <protection locked="0"/>
    </xf>
    <xf numFmtId="0" fontId="51" fillId="0" borderId="0" xfId="0" applyFont="1"/>
    <xf numFmtId="14" fontId="51" fillId="0" borderId="0" xfId="0" applyNumberFormat="1" applyFont="1"/>
    <xf numFmtId="0" fontId="46" fillId="0" borderId="39" xfId="0" applyFont="1" applyBorder="1" applyAlignment="1">
      <alignment horizontal="center" vertical="center"/>
    </xf>
    <xf numFmtId="0" fontId="84" fillId="0" borderId="0" xfId="0" applyFont="1" applyAlignment="1">
      <alignment horizontal="center" vertical="center"/>
    </xf>
    <xf numFmtId="0" fontId="84" fillId="0" borderId="0" xfId="0" applyFont="1"/>
    <xf numFmtId="0" fontId="51" fillId="0" borderId="0" xfId="0" applyFont="1" applyProtection="1">
      <protection locked="0"/>
    </xf>
    <xf numFmtId="0" fontId="61" fillId="0" borderId="0" xfId="0" applyFont="1" applyAlignment="1" applyProtection="1">
      <alignment vertical="center"/>
      <protection locked="0"/>
    </xf>
    <xf numFmtId="0" fontId="53" fillId="0" borderId="0" xfId="0" applyFont="1" applyProtection="1">
      <protection locked="0"/>
    </xf>
    <xf numFmtId="0" fontId="59" fillId="34" borderId="34" xfId="0" applyFont="1" applyFill="1" applyBorder="1" applyAlignment="1">
      <alignment horizontal="center" vertical="center" wrapText="1"/>
    </xf>
    <xf numFmtId="0" fontId="59" fillId="34" borderId="69" xfId="0" applyFont="1" applyFill="1" applyBorder="1" applyAlignment="1">
      <alignment horizontal="center" vertical="center" wrapText="1"/>
    </xf>
    <xf numFmtId="0" fontId="59" fillId="34" borderId="49" xfId="0" applyFont="1" applyFill="1" applyBorder="1" applyAlignment="1">
      <alignment horizontal="center" vertical="center" wrapText="1"/>
    </xf>
    <xf numFmtId="0" fontId="59" fillId="34" borderId="35" xfId="0" applyFont="1" applyFill="1" applyBorder="1" applyAlignment="1">
      <alignment horizontal="center" vertical="center" wrapText="1"/>
    </xf>
    <xf numFmtId="0" fontId="59" fillId="34" borderId="62" xfId="0" applyFont="1" applyFill="1" applyBorder="1" applyAlignment="1">
      <alignment horizontal="center" vertical="center" wrapText="1"/>
    </xf>
    <xf numFmtId="0" fontId="85" fillId="34" borderId="24" xfId="0" applyFont="1" applyFill="1" applyBorder="1" applyAlignment="1">
      <alignment horizontal="center" vertical="center" wrapText="1"/>
    </xf>
    <xf numFmtId="0" fontId="85" fillId="34" borderId="70" xfId="0" applyFont="1" applyFill="1" applyBorder="1" applyAlignment="1">
      <alignment horizontal="center" vertical="center" wrapText="1"/>
    </xf>
    <xf numFmtId="0" fontId="85" fillId="34" borderId="25" xfId="0" applyFont="1" applyFill="1" applyBorder="1" applyAlignment="1">
      <alignment horizontal="center" vertical="center" wrapText="1"/>
    </xf>
    <xf numFmtId="0" fontId="85" fillId="34" borderId="26" xfId="0" applyFont="1" applyFill="1" applyBorder="1" applyAlignment="1">
      <alignment horizontal="center" vertical="center" wrapText="1"/>
    </xf>
    <xf numFmtId="0" fontId="53" fillId="0" borderId="0" xfId="0" applyFont="1" applyAlignment="1">
      <alignment horizontal="center" vertical="center"/>
    </xf>
    <xf numFmtId="0" fontId="53" fillId="35" borderId="35" xfId="0" applyFont="1" applyFill="1" applyBorder="1" applyAlignment="1">
      <alignment horizontal="center" vertical="center" wrapText="1"/>
    </xf>
    <xf numFmtId="0" fontId="53" fillId="35" borderId="69" xfId="0" applyFont="1" applyFill="1" applyBorder="1" applyAlignment="1">
      <alignment horizontal="center" vertical="center" wrapText="1"/>
    </xf>
    <xf numFmtId="0" fontId="53" fillId="35" borderId="69" xfId="0" applyFont="1" applyFill="1" applyBorder="1" applyAlignment="1">
      <alignment horizontal="center" vertical="center"/>
    </xf>
    <xf numFmtId="0" fontId="53" fillId="2" borderId="34" xfId="0" applyFont="1" applyFill="1" applyBorder="1" applyAlignment="1">
      <alignment horizontal="center" vertical="center"/>
    </xf>
    <xf numFmtId="0" fontId="53" fillId="35" borderId="34" xfId="0" applyFont="1" applyFill="1" applyBorder="1" applyAlignment="1">
      <alignment horizontal="center" vertical="center"/>
    </xf>
    <xf numFmtId="1" fontId="53" fillId="35" borderId="69" xfId="0" applyNumberFormat="1" applyFont="1" applyFill="1" applyBorder="1" applyAlignment="1">
      <alignment horizontal="center" vertical="center"/>
    </xf>
    <xf numFmtId="0" fontId="51" fillId="2" borderId="34" xfId="0" applyFont="1" applyFill="1" applyBorder="1" applyAlignment="1">
      <alignment horizontal="center" vertical="center"/>
    </xf>
    <xf numFmtId="1" fontId="51" fillId="2" borderId="7" xfId="0" applyNumberFormat="1" applyFont="1" applyFill="1" applyBorder="1" applyAlignment="1">
      <alignment horizontal="center" vertical="center"/>
    </xf>
    <xf numFmtId="0" fontId="51" fillId="36" borderId="34" xfId="0" applyFont="1" applyFill="1" applyBorder="1" applyAlignment="1">
      <alignment horizontal="center" vertical="center"/>
    </xf>
    <xf numFmtId="1" fontId="51" fillId="0" borderId="49" xfId="0" applyNumberFormat="1" applyFont="1" applyBorder="1" applyAlignment="1">
      <alignment horizontal="center" vertical="center"/>
    </xf>
    <xf numFmtId="0" fontId="51" fillId="36" borderId="35" xfId="0" applyFont="1" applyFill="1" applyBorder="1" applyAlignment="1">
      <alignment horizontal="center" vertical="center"/>
    </xf>
    <xf numFmtId="1" fontId="51" fillId="36" borderId="69" xfId="0" applyNumberFormat="1" applyFont="1" applyFill="1" applyBorder="1" applyAlignment="1">
      <alignment horizontal="center" vertical="center"/>
    </xf>
    <xf numFmtId="0" fontId="51" fillId="36" borderId="69" xfId="0" applyFont="1" applyFill="1" applyBorder="1" applyAlignment="1">
      <alignment horizontal="center" vertical="center"/>
    </xf>
    <xf numFmtId="0" fontId="51" fillId="36" borderId="62" xfId="0" applyFont="1" applyFill="1" applyBorder="1" applyAlignment="1">
      <alignment horizontal="center" vertical="center"/>
    </xf>
    <xf numFmtId="0" fontId="53" fillId="33" borderId="13" xfId="0" applyFont="1" applyFill="1" applyBorder="1" applyAlignment="1" applyProtection="1">
      <alignment horizontal="center" vertical="center"/>
      <protection locked="0"/>
    </xf>
    <xf numFmtId="0" fontId="53" fillId="33" borderId="72" xfId="0" applyFont="1" applyFill="1" applyBorder="1" applyAlignment="1" applyProtection="1">
      <alignment horizontal="center" vertical="center"/>
      <protection locked="0"/>
    </xf>
    <xf numFmtId="0" fontId="53" fillId="33" borderId="73" xfId="0" applyFont="1" applyFill="1" applyBorder="1" applyAlignment="1" applyProtection="1">
      <alignment horizontal="center" vertical="center"/>
      <protection locked="0"/>
    </xf>
    <xf numFmtId="0" fontId="53" fillId="33" borderId="14" xfId="0" applyFont="1" applyFill="1" applyBorder="1" applyAlignment="1" applyProtection="1">
      <alignment horizontal="center" vertical="center"/>
      <protection locked="0"/>
    </xf>
    <xf numFmtId="0" fontId="53" fillId="33" borderId="55" xfId="0" applyFont="1" applyFill="1" applyBorder="1" applyAlignment="1" applyProtection="1">
      <alignment horizontal="center" vertical="center"/>
      <protection locked="0"/>
    </xf>
    <xf numFmtId="0" fontId="53" fillId="33" borderId="27" xfId="0" applyFont="1" applyFill="1" applyBorder="1" applyAlignment="1" applyProtection="1">
      <alignment horizontal="center" vertical="center"/>
      <protection locked="0"/>
    </xf>
    <xf numFmtId="0" fontId="53" fillId="33" borderId="3" xfId="0" applyFont="1" applyFill="1" applyBorder="1" applyAlignment="1" applyProtection="1">
      <alignment horizontal="center" vertical="center"/>
      <protection locked="0"/>
    </xf>
    <xf numFmtId="0" fontId="53" fillId="33" borderId="47" xfId="0" applyFont="1" applyFill="1" applyBorder="1" applyAlignment="1" applyProtection="1">
      <alignment horizontal="center" vertical="center"/>
      <protection locked="0"/>
    </xf>
    <xf numFmtId="0" fontId="53" fillId="37" borderId="33" xfId="0" applyFont="1" applyFill="1" applyBorder="1" applyAlignment="1" applyProtection="1">
      <alignment horizontal="center" vertical="center"/>
      <protection locked="0"/>
    </xf>
    <xf numFmtId="0" fontId="53" fillId="37" borderId="0" xfId="0" applyFont="1" applyFill="1" applyAlignment="1" applyProtection="1">
      <alignment horizontal="center" vertical="center"/>
      <protection locked="0"/>
    </xf>
    <xf numFmtId="0" fontId="53" fillId="37" borderId="3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35" borderId="35" xfId="0" applyFont="1" applyFill="1" applyBorder="1" applyAlignment="1" applyProtection="1">
      <alignment horizontal="center" vertical="center" wrapText="1"/>
      <protection locked="0"/>
    </xf>
    <xf numFmtId="0" fontId="53" fillId="35" borderId="69" xfId="0" applyFont="1" applyFill="1" applyBorder="1" applyAlignment="1" applyProtection="1">
      <alignment horizontal="center" vertical="center" wrapText="1"/>
      <protection locked="0"/>
    </xf>
    <xf numFmtId="0" fontId="53" fillId="35" borderId="69" xfId="0" applyFont="1" applyFill="1" applyBorder="1" applyAlignment="1" applyProtection="1">
      <alignment horizontal="center" vertical="center"/>
      <protection locked="0"/>
    </xf>
    <xf numFmtId="0" fontId="53" fillId="35" borderId="34" xfId="0" applyFont="1" applyFill="1" applyBorder="1" applyAlignment="1" applyProtection="1">
      <alignment horizontal="center" vertical="center"/>
      <protection locked="0"/>
    </xf>
    <xf numFmtId="1" fontId="53" fillId="35" borderId="69" xfId="0" applyNumberFormat="1" applyFont="1" applyFill="1" applyBorder="1" applyAlignment="1" applyProtection="1">
      <alignment horizontal="center" vertical="center"/>
      <protection locked="0"/>
    </xf>
    <xf numFmtId="0" fontId="51" fillId="36" borderId="34" xfId="0" applyFont="1" applyFill="1" applyBorder="1" applyAlignment="1" applyProtection="1">
      <alignment horizontal="center" vertical="center"/>
      <protection locked="0"/>
    </xf>
    <xf numFmtId="0" fontId="51" fillId="36" borderId="35" xfId="0" applyFont="1" applyFill="1" applyBorder="1" applyAlignment="1" applyProtection="1">
      <alignment horizontal="center" vertical="center"/>
      <protection locked="0"/>
    </xf>
    <xf numFmtId="1" fontId="51" fillId="36" borderId="69" xfId="0" applyNumberFormat="1" applyFont="1" applyFill="1" applyBorder="1" applyAlignment="1" applyProtection="1">
      <alignment horizontal="center" vertical="center"/>
      <protection locked="0"/>
    </xf>
    <xf numFmtId="0" fontId="51" fillId="36" borderId="69" xfId="0" applyFont="1" applyFill="1" applyBorder="1" applyAlignment="1" applyProtection="1">
      <alignment horizontal="center" vertical="center"/>
      <protection locked="0"/>
    </xf>
    <xf numFmtId="0" fontId="51" fillId="36" borderId="62" xfId="0" applyFont="1" applyFill="1" applyBorder="1" applyAlignment="1" applyProtection="1">
      <alignment horizontal="center" vertical="center"/>
      <protection locked="0"/>
    </xf>
    <xf numFmtId="0" fontId="53" fillId="35" borderId="8" xfId="0" applyFont="1" applyFill="1" applyBorder="1" applyAlignment="1" applyProtection="1">
      <alignment horizontal="center" vertical="center" wrapText="1"/>
      <protection locked="0"/>
    </xf>
    <xf numFmtId="0" fontId="53" fillId="35" borderId="7" xfId="0" applyFont="1" applyFill="1" applyBorder="1" applyAlignment="1" applyProtection="1">
      <alignment horizontal="center" vertical="center" wrapText="1"/>
      <protection locked="0"/>
    </xf>
    <xf numFmtId="0" fontId="53" fillId="35" borderId="7" xfId="0" applyFont="1" applyFill="1" applyBorder="1" applyAlignment="1" applyProtection="1">
      <alignment horizontal="center" vertical="center"/>
      <protection locked="0"/>
    </xf>
    <xf numFmtId="0" fontId="53" fillId="2" borderId="74" xfId="0" applyFont="1" applyFill="1" applyBorder="1" applyAlignment="1">
      <alignment horizontal="center" vertical="center"/>
    </xf>
    <xf numFmtId="0" fontId="53" fillId="35" borderId="74" xfId="0" applyFont="1" applyFill="1" applyBorder="1" applyAlignment="1" applyProtection="1">
      <alignment horizontal="center" vertical="center"/>
      <protection locked="0"/>
    </xf>
    <xf numFmtId="1" fontId="53" fillId="35" borderId="7" xfId="0" applyNumberFormat="1" applyFont="1" applyFill="1" applyBorder="1" applyAlignment="1" applyProtection="1">
      <alignment horizontal="center" vertical="center"/>
      <protection locked="0"/>
    </xf>
    <xf numFmtId="0" fontId="51" fillId="2" borderId="74" xfId="0" applyFont="1" applyFill="1" applyBorder="1" applyAlignment="1">
      <alignment horizontal="center" vertical="center"/>
    </xf>
    <xf numFmtId="0" fontId="51" fillId="36" borderId="74" xfId="0" applyFont="1" applyFill="1" applyBorder="1" applyAlignment="1" applyProtection="1">
      <alignment horizontal="center" vertical="center"/>
      <protection locked="0"/>
    </xf>
    <xf numFmtId="1" fontId="51" fillId="0" borderId="75" xfId="0" applyNumberFormat="1" applyFont="1" applyBorder="1" applyAlignment="1">
      <alignment horizontal="center" vertical="center"/>
    </xf>
    <xf numFmtId="0" fontId="51" fillId="36" borderId="8" xfId="0" applyFont="1" applyFill="1" applyBorder="1" applyAlignment="1" applyProtection="1">
      <alignment horizontal="center" vertical="center"/>
      <protection locked="0"/>
    </xf>
    <xf numFmtId="1" fontId="51" fillId="36" borderId="7" xfId="0" applyNumberFormat="1" applyFont="1" applyFill="1" applyBorder="1" applyAlignment="1" applyProtection="1">
      <alignment horizontal="center" vertical="center"/>
      <protection locked="0"/>
    </xf>
    <xf numFmtId="0" fontId="51" fillId="36" borderId="7" xfId="0" applyFont="1" applyFill="1" applyBorder="1" applyAlignment="1" applyProtection="1">
      <alignment horizontal="center" vertical="center"/>
      <protection locked="0"/>
    </xf>
    <xf numFmtId="0" fontId="51" fillId="36" borderId="76" xfId="0" applyFont="1" applyFill="1" applyBorder="1" applyAlignment="1" applyProtection="1">
      <alignment horizontal="center" vertical="center"/>
      <protection locked="0"/>
    </xf>
    <xf numFmtId="0" fontId="53" fillId="33" borderId="18" xfId="0" applyFont="1" applyFill="1" applyBorder="1" applyAlignment="1" applyProtection="1">
      <alignment horizontal="center" vertical="center"/>
      <protection locked="0"/>
    </xf>
    <xf numFmtId="0" fontId="53" fillId="33" borderId="5" xfId="0" applyFont="1" applyFill="1" applyBorder="1" applyAlignment="1" applyProtection="1">
      <alignment horizontal="center" vertical="center"/>
      <protection locked="0"/>
    </xf>
    <xf numFmtId="0" fontId="53" fillId="33" borderId="2" xfId="0" applyFont="1" applyFill="1" applyBorder="1" applyAlignment="1" applyProtection="1">
      <alignment horizontal="center" vertical="center"/>
      <protection locked="0"/>
    </xf>
    <xf numFmtId="0" fontId="53" fillId="33" borderId="1" xfId="0" applyFont="1" applyFill="1" applyBorder="1" applyAlignment="1" applyProtection="1">
      <alignment horizontal="center" vertical="center"/>
      <protection locked="0"/>
    </xf>
    <xf numFmtId="0" fontId="53" fillId="33" borderId="17" xfId="0" applyFont="1" applyFill="1" applyBorder="1" applyAlignment="1" applyProtection="1">
      <alignment horizontal="center" vertical="center"/>
      <protection locked="0"/>
    </xf>
    <xf numFmtId="0" fontId="53" fillId="37" borderId="30" xfId="0" applyFont="1" applyFill="1" applyBorder="1" applyAlignment="1" applyProtection="1">
      <alignment horizontal="center" vertical="center"/>
      <protection locked="0"/>
    </xf>
    <xf numFmtId="0" fontId="53" fillId="37" borderId="31" xfId="0" applyFont="1" applyFill="1" applyBorder="1" applyAlignment="1" applyProtection="1">
      <alignment horizontal="center" vertical="center"/>
      <protection locked="0"/>
    </xf>
    <xf numFmtId="0" fontId="53" fillId="37" borderId="32" xfId="0" applyFont="1" applyFill="1" applyBorder="1" applyAlignment="1" applyProtection="1">
      <alignment horizontal="center" vertical="center"/>
      <protection locked="0"/>
    </xf>
    <xf numFmtId="0" fontId="53" fillId="35" borderId="51" xfId="0" applyFont="1" applyFill="1" applyBorder="1" applyAlignment="1" applyProtection="1">
      <alignment horizontal="center" vertical="center" wrapText="1"/>
      <protection locked="0"/>
    </xf>
    <xf numFmtId="0" fontId="53" fillId="35" borderId="22" xfId="0" applyFont="1" applyFill="1" applyBorder="1" applyAlignment="1" applyProtection="1">
      <alignment horizontal="center" vertical="center" wrapText="1"/>
      <protection locked="0"/>
    </xf>
    <xf numFmtId="0" fontId="53" fillId="35" borderId="22" xfId="0" applyFont="1" applyFill="1" applyBorder="1" applyAlignment="1" applyProtection="1">
      <alignment horizontal="center" vertical="center"/>
      <protection locked="0"/>
    </xf>
    <xf numFmtId="0" fontId="53" fillId="2" borderId="77" xfId="0" applyFont="1" applyFill="1" applyBorder="1" applyAlignment="1">
      <alignment horizontal="center" vertical="center"/>
    </xf>
    <xf numFmtId="0" fontId="53" fillId="35" borderId="77" xfId="0" applyFont="1" applyFill="1" applyBorder="1" applyAlignment="1" applyProtection="1">
      <alignment horizontal="center" vertical="center"/>
      <protection locked="0"/>
    </xf>
    <xf numFmtId="1" fontId="53" fillId="35" borderId="22" xfId="0" applyNumberFormat="1" applyFont="1" applyFill="1" applyBorder="1" applyAlignment="1" applyProtection="1">
      <alignment horizontal="center" vertical="center"/>
      <protection locked="0"/>
    </xf>
    <xf numFmtId="0" fontId="51" fillId="2" borderId="77" xfId="0" applyFont="1" applyFill="1" applyBorder="1" applyAlignment="1">
      <alignment horizontal="center" vertical="center"/>
    </xf>
    <xf numFmtId="1" fontId="51" fillId="2" borderId="22" xfId="0" applyNumberFormat="1" applyFont="1" applyFill="1" applyBorder="1" applyAlignment="1">
      <alignment horizontal="center" vertical="center"/>
    </xf>
    <xf numFmtId="0" fontId="51" fillId="36" borderId="77" xfId="0" applyFont="1" applyFill="1" applyBorder="1" applyAlignment="1" applyProtection="1">
      <alignment horizontal="center" vertical="center"/>
      <protection locked="0"/>
    </xf>
    <xf numFmtId="1" fontId="51" fillId="0" borderId="65" xfId="0" applyNumberFormat="1" applyFont="1" applyBorder="1" applyAlignment="1">
      <alignment horizontal="center" vertical="center"/>
    </xf>
    <xf numFmtId="0" fontId="51" fillId="36" borderId="51" xfId="0" applyFont="1" applyFill="1" applyBorder="1" applyAlignment="1" applyProtection="1">
      <alignment horizontal="center" vertical="center"/>
      <protection locked="0"/>
    </xf>
    <xf numFmtId="1" fontId="51" fillId="36" borderId="22" xfId="0" applyNumberFormat="1" applyFont="1" applyFill="1" applyBorder="1" applyAlignment="1" applyProtection="1">
      <alignment horizontal="center" vertical="center"/>
      <protection locked="0"/>
    </xf>
    <xf numFmtId="0" fontId="51" fillId="36" borderId="22" xfId="0" applyFont="1" applyFill="1" applyBorder="1" applyAlignment="1" applyProtection="1">
      <alignment horizontal="center" vertical="center"/>
      <protection locked="0"/>
    </xf>
    <xf numFmtId="0" fontId="51" fillId="36" borderId="29" xfId="0" applyFont="1" applyFill="1" applyBorder="1" applyAlignment="1" applyProtection="1">
      <alignment horizontal="center" vertical="center"/>
      <protection locked="0"/>
    </xf>
    <xf numFmtId="0" fontId="53" fillId="33" borderId="20" xfId="0" applyFont="1" applyFill="1" applyBorder="1" applyAlignment="1" applyProtection="1">
      <alignment horizontal="center" vertical="center"/>
      <protection locked="0"/>
    </xf>
    <xf numFmtId="0" fontId="53" fillId="33" borderId="22" xfId="0" applyFont="1" applyFill="1" applyBorder="1" applyAlignment="1" applyProtection="1">
      <alignment horizontal="center" vertical="center"/>
      <protection locked="0"/>
    </xf>
    <xf numFmtId="0" fontId="53" fillId="33" borderId="23" xfId="0" applyFont="1" applyFill="1" applyBorder="1" applyAlignment="1" applyProtection="1">
      <alignment horizontal="center" vertical="center"/>
      <protection locked="0"/>
    </xf>
    <xf numFmtId="0" fontId="53" fillId="33" borderId="21" xfId="0" applyFont="1" applyFill="1" applyBorder="1" applyAlignment="1" applyProtection="1">
      <alignment horizontal="center" vertical="center"/>
      <protection locked="0"/>
    </xf>
    <xf numFmtId="0" fontId="53" fillId="33" borderId="78" xfId="0" applyFont="1" applyFill="1" applyBorder="1" applyAlignment="1" applyProtection="1">
      <alignment horizontal="center" vertical="center"/>
      <protection locked="0"/>
    </xf>
    <xf numFmtId="0" fontId="85" fillId="0" borderId="0" xfId="0" applyFont="1"/>
    <xf numFmtId="1" fontId="84" fillId="0" borderId="0" xfId="0" applyNumberFormat="1" applyFont="1"/>
    <xf numFmtId="0" fontId="85" fillId="39" borderId="34" xfId="0" applyFont="1" applyFill="1" applyBorder="1" applyAlignment="1">
      <alignment horizontal="center" vertical="center"/>
    </xf>
    <xf numFmtId="0" fontId="85" fillId="0" borderId="0" xfId="0" applyFont="1" applyAlignment="1">
      <alignment vertical="center"/>
    </xf>
    <xf numFmtId="0" fontId="88" fillId="0" borderId="0" xfId="0" applyFont="1" applyAlignment="1">
      <alignment vertical="center"/>
    </xf>
    <xf numFmtId="0" fontId="85" fillId="34" borderId="34" xfId="0" applyFont="1" applyFill="1" applyBorder="1" applyAlignment="1">
      <alignment horizontal="center" vertical="center" wrapText="1"/>
    </xf>
    <xf numFmtId="0" fontId="85" fillId="0" borderId="0" xfId="0" applyFont="1" applyAlignment="1" applyProtection="1">
      <alignment vertical="center" wrapText="1"/>
      <protection locked="0"/>
    </xf>
    <xf numFmtId="0" fontId="88" fillId="0" borderId="0" xfId="0" applyFont="1" applyAlignment="1" applyProtection="1">
      <alignment vertical="center"/>
      <protection locked="0"/>
    </xf>
    <xf numFmtId="0" fontId="89" fillId="0" borderId="0" xfId="0" applyFont="1" applyAlignment="1" applyProtection="1">
      <alignment horizontal="center" vertical="center" wrapText="1"/>
      <protection locked="0"/>
    </xf>
    <xf numFmtId="0" fontId="89" fillId="0" borderId="0" xfId="0" applyFont="1" applyAlignment="1">
      <alignment horizontal="center" vertical="center" wrapText="1"/>
    </xf>
    <xf numFmtId="0" fontId="85" fillId="34" borderId="33" xfId="0" applyFont="1" applyFill="1" applyBorder="1" applyAlignment="1">
      <alignment horizontal="center" vertical="center" wrapText="1"/>
    </xf>
    <xf numFmtId="0" fontId="51" fillId="34" borderId="53" xfId="0" applyFont="1" applyFill="1" applyBorder="1" applyAlignment="1">
      <alignment horizontal="center" vertical="center" wrapText="1"/>
    </xf>
    <xf numFmtId="0" fontId="51" fillId="34" borderId="0" xfId="0" applyFont="1" applyFill="1" applyAlignment="1">
      <alignment horizontal="center" vertical="center" wrapText="1"/>
    </xf>
    <xf numFmtId="0" fontId="51" fillId="34" borderId="33" xfId="0" applyFont="1" applyFill="1" applyBorder="1" applyAlignment="1">
      <alignment horizontal="center" vertical="center" wrapText="1"/>
    </xf>
    <xf numFmtId="0" fontId="51" fillId="34" borderId="10" xfId="0" applyFont="1" applyFill="1" applyBorder="1" applyAlignment="1">
      <alignment horizontal="center" vertical="center" wrapText="1"/>
    </xf>
    <xf numFmtId="0" fontId="51" fillId="34" borderId="3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0" fontId="84" fillId="0" borderId="0" xfId="0" applyFont="1" applyProtection="1">
      <protection locked="0"/>
    </xf>
    <xf numFmtId="0" fontId="51" fillId="0" borderId="0" xfId="0" applyFont="1" applyAlignment="1">
      <alignment horizontal="center" vertical="center"/>
    </xf>
    <xf numFmtId="0" fontId="53" fillId="33" borderId="10" xfId="0" applyFont="1" applyFill="1" applyBorder="1" applyAlignment="1" applyProtection="1">
      <alignment horizontal="center" vertical="center"/>
      <protection locked="0"/>
    </xf>
    <xf numFmtId="0" fontId="51" fillId="10" borderId="12" xfId="0" applyFont="1" applyFill="1" applyBorder="1" applyAlignment="1" applyProtection="1">
      <alignment horizontal="center" vertical="center"/>
      <protection locked="0"/>
    </xf>
    <xf numFmtId="0" fontId="53" fillId="2" borderId="3" xfId="0" applyFont="1" applyFill="1" applyBorder="1" applyAlignment="1">
      <alignment horizontal="center" vertical="center"/>
    </xf>
    <xf numFmtId="0" fontId="53" fillId="2" borderId="47" xfId="0" applyFont="1" applyFill="1" applyBorder="1" applyAlignment="1">
      <alignment horizontal="center" vertical="center"/>
    </xf>
    <xf numFmtId="0" fontId="53" fillId="2" borderId="27" xfId="0" applyFont="1" applyFill="1" applyBorder="1" applyAlignment="1">
      <alignment horizontal="center" vertical="center"/>
    </xf>
    <xf numFmtId="1" fontId="53" fillId="2" borderId="3" xfId="0" applyNumberFormat="1" applyFont="1" applyFill="1" applyBorder="1" applyAlignment="1">
      <alignment horizontal="center" vertical="center"/>
    </xf>
    <xf numFmtId="0" fontId="53" fillId="2" borderId="9" xfId="0" applyFont="1" applyFill="1" applyBorder="1" applyAlignment="1">
      <alignment horizontal="center" vertical="center"/>
    </xf>
    <xf numFmtId="0" fontId="53" fillId="2" borderId="28" xfId="0" applyFont="1" applyFill="1" applyBorder="1" applyAlignment="1">
      <alignment horizontal="center" vertical="center"/>
    </xf>
    <xf numFmtId="1" fontId="51" fillId="33" borderId="80" xfId="0" applyNumberFormat="1" applyFont="1" applyFill="1" applyBorder="1" applyAlignment="1" applyProtection="1">
      <alignment horizontal="center" vertical="center"/>
      <protection locked="0"/>
    </xf>
    <xf numFmtId="14" fontId="53" fillId="33" borderId="38" xfId="0" applyNumberFormat="1" applyFont="1" applyFill="1" applyBorder="1" applyAlignment="1" applyProtection="1">
      <alignment horizontal="center" vertical="center"/>
      <protection locked="0"/>
    </xf>
    <xf numFmtId="1" fontId="51" fillId="33" borderId="27" xfId="0" applyNumberFormat="1" applyFont="1" applyFill="1" applyBorder="1" applyAlignment="1" applyProtection="1">
      <alignment horizontal="center" vertical="center"/>
      <protection locked="0"/>
    </xf>
    <xf numFmtId="1" fontId="51" fillId="2" borderId="47" xfId="0" applyNumberFormat="1" applyFont="1" applyFill="1" applyBorder="1" applyAlignment="1">
      <alignment horizontal="center" vertical="center"/>
    </xf>
    <xf numFmtId="1" fontId="51" fillId="10" borderId="45" xfId="0" applyNumberFormat="1" applyFont="1" applyFill="1" applyBorder="1" applyAlignment="1" applyProtection="1">
      <alignment horizontal="center" vertical="center"/>
      <protection locked="0"/>
    </xf>
    <xf numFmtId="1" fontId="51" fillId="2" borderId="3" xfId="0" applyNumberFormat="1" applyFont="1" applyFill="1" applyBorder="1" applyAlignment="1">
      <alignment horizontal="center" vertical="center" wrapText="1"/>
    </xf>
    <xf numFmtId="1" fontId="51" fillId="33" borderId="3" xfId="0" applyNumberFormat="1" applyFont="1" applyFill="1" applyBorder="1" applyAlignment="1" applyProtection="1">
      <alignment horizontal="center" vertical="center" wrapText="1"/>
      <protection locked="0"/>
    </xf>
    <xf numFmtId="1" fontId="51" fillId="2" borderId="3" xfId="0" applyNumberFormat="1" applyFont="1" applyFill="1" applyBorder="1" applyAlignment="1">
      <alignment horizontal="center" vertical="center"/>
    </xf>
    <xf numFmtId="1" fontId="51" fillId="33" borderId="3" xfId="0" applyNumberFormat="1" applyFont="1" applyFill="1" applyBorder="1" applyAlignment="1" applyProtection="1">
      <alignment horizontal="center" vertical="center"/>
      <protection locked="0"/>
    </xf>
    <xf numFmtId="1" fontId="51" fillId="2" borderId="28" xfId="0" applyNumberFormat="1" applyFont="1" applyFill="1" applyBorder="1" applyAlignment="1">
      <alignment horizontal="center" vertical="center"/>
    </xf>
    <xf numFmtId="1" fontId="51" fillId="33" borderId="28" xfId="0" applyNumberFormat="1" applyFont="1" applyFill="1" applyBorder="1" applyAlignment="1" applyProtection="1">
      <alignment horizontal="center" vertical="center"/>
      <protection locked="0"/>
    </xf>
    <xf numFmtId="1" fontId="51" fillId="0" borderId="0" xfId="0" applyNumberFormat="1" applyFont="1" applyAlignment="1" applyProtection="1">
      <alignment horizontal="center" vertical="center"/>
      <protection locked="0"/>
    </xf>
    <xf numFmtId="1" fontId="51" fillId="37" borderId="33" xfId="0" applyNumberFormat="1" applyFont="1" applyFill="1" applyBorder="1" applyAlignment="1" applyProtection="1">
      <alignment horizontal="center" vertical="center"/>
      <protection locked="0"/>
    </xf>
    <xf numFmtId="0" fontId="51" fillId="37" borderId="0" xfId="0" applyFont="1" applyFill="1" applyAlignment="1" applyProtection="1">
      <alignment horizontal="center" vertical="center"/>
      <protection locked="0"/>
    </xf>
    <xf numFmtId="0" fontId="84" fillId="37" borderId="0" xfId="0" applyFont="1" applyFill="1" applyAlignment="1" applyProtection="1">
      <alignment horizontal="center" vertical="center"/>
      <protection locked="0"/>
    </xf>
    <xf numFmtId="0" fontId="51" fillId="37" borderId="37" xfId="0" applyFont="1" applyFill="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0" fontId="51" fillId="10" borderId="15" xfId="0" applyFont="1" applyFill="1" applyBorder="1" applyAlignment="1" applyProtection="1">
      <alignment horizontal="center" vertical="center"/>
      <protection locked="0"/>
    </xf>
    <xf numFmtId="0" fontId="53" fillId="2" borderId="73" xfId="0" applyFont="1" applyFill="1" applyBorder="1" applyAlignment="1">
      <alignment horizontal="center" vertical="center"/>
    </xf>
    <xf numFmtId="0" fontId="53" fillId="2" borderId="72" xfId="0" applyFont="1" applyFill="1" applyBorder="1" applyAlignment="1">
      <alignment horizontal="center" vertical="center"/>
    </xf>
    <xf numFmtId="0" fontId="53" fillId="2" borderId="13" xfId="0" applyFont="1" applyFill="1" applyBorder="1" applyAlignment="1">
      <alignment horizontal="center" vertical="center"/>
    </xf>
    <xf numFmtId="0" fontId="53" fillId="2" borderId="14" xfId="0" applyFont="1" applyFill="1" applyBorder="1" applyAlignment="1">
      <alignment horizontal="center" vertical="center"/>
    </xf>
    <xf numFmtId="1" fontId="53" fillId="2" borderId="14" xfId="0" applyNumberFormat="1" applyFont="1" applyFill="1" applyBorder="1" applyAlignment="1">
      <alignment horizontal="center" vertical="center"/>
    </xf>
    <xf numFmtId="0" fontId="53" fillId="2" borderId="15" xfId="0" applyFont="1" applyFill="1" applyBorder="1" applyAlignment="1">
      <alignment horizontal="center" vertical="center"/>
    </xf>
    <xf numFmtId="1" fontId="51" fillId="33" borderId="81" xfId="0" applyNumberFormat="1" applyFont="1" applyFill="1" applyBorder="1" applyAlignment="1" applyProtection="1">
      <alignment horizontal="center" vertical="center"/>
      <protection locked="0"/>
    </xf>
    <xf numFmtId="14" fontId="53" fillId="33" borderId="56" xfId="0" applyNumberFormat="1" applyFont="1" applyFill="1" applyBorder="1" applyAlignment="1" applyProtection="1">
      <alignment horizontal="center" vertical="center"/>
      <protection locked="0"/>
    </xf>
    <xf numFmtId="1" fontId="51" fillId="33" borderId="13" xfId="0" applyNumberFormat="1" applyFont="1" applyFill="1" applyBorder="1" applyAlignment="1" applyProtection="1">
      <alignment horizontal="center" vertical="center"/>
      <protection locked="0"/>
    </xf>
    <xf numFmtId="1" fontId="51" fillId="2" borderId="72" xfId="0" applyNumberFormat="1" applyFont="1" applyFill="1" applyBorder="1" applyAlignment="1">
      <alignment horizontal="center" vertical="center"/>
    </xf>
    <xf numFmtId="1" fontId="51" fillId="10" borderId="49" xfId="0" applyNumberFormat="1" applyFont="1" applyFill="1" applyBorder="1" applyAlignment="1" applyProtection="1">
      <alignment horizontal="center" vertical="center"/>
      <protection locked="0"/>
    </xf>
    <xf numFmtId="1" fontId="51" fillId="2" borderId="14" xfId="0" applyNumberFormat="1" applyFont="1" applyFill="1" applyBorder="1" applyAlignment="1">
      <alignment horizontal="center" vertical="center" wrapText="1"/>
    </xf>
    <xf numFmtId="1" fontId="51" fillId="33" borderId="14" xfId="0" applyNumberFormat="1" applyFont="1" applyFill="1" applyBorder="1" applyAlignment="1" applyProtection="1">
      <alignment horizontal="center" vertical="center" wrapText="1"/>
      <protection locked="0"/>
    </xf>
    <xf numFmtId="1" fontId="51" fillId="2" borderId="14" xfId="0" applyNumberFormat="1" applyFont="1" applyFill="1" applyBorder="1" applyAlignment="1">
      <alignment horizontal="center" vertical="center"/>
    </xf>
    <xf numFmtId="1" fontId="51" fillId="33" borderId="14" xfId="0" applyNumberFormat="1" applyFont="1" applyFill="1" applyBorder="1" applyAlignment="1" applyProtection="1">
      <alignment horizontal="center" vertical="center"/>
      <protection locked="0"/>
    </xf>
    <xf numFmtId="1" fontId="51" fillId="2" borderId="15" xfId="0" applyNumberFormat="1" applyFont="1" applyFill="1" applyBorder="1" applyAlignment="1">
      <alignment horizontal="center" vertical="center"/>
    </xf>
    <xf numFmtId="1" fontId="51" fillId="33" borderId="15" xfId="0" applyNumberFormat="1" applyFont="1" applyFill="1" applyBorder="1" applyAlignment="1" applyProtection="1">
      <alignment horizontal="center" vertical="center"/>
      <protection locked="0"/>
    </xf>
    <xf numFmtId="0" fontId="53" fillId="10" borderId="19" xfId="0" applyFont="1" applyFill="1" applyBorder="1" applyAlignment="1" applyProtection="1">
      <alignment horizontal="center" vertical="center"/>
      <protection locked="0"/>
    </xf>
    <xf numFmtId="0" fontId="53" fillId="2" borderId="2" xfId="0" applyFont="1" applyFill="1" applyBorder="1" applyAlignment="1">
      <alignment horizontal="center" vertical="center"/>
    </xf>
    <xf numFmtId="0" fontId="53" fillId="2" borderId="5" xfId="0" applyFont="1" applyFill="1" applyBorder="1" applyAlignment="1">
      <alignment horizontal="center" vertical="center"/>
    </xf>
    <xf numFmtId="0" fontId="53" fillId="2" borderId="18" xfId="0" applyFont="1" applyFill="1" applyBorder="1" applyAlignment="1">
      <alignment horizontal="center" vertical="center"/>
    </xf>
    <xf numFmtId="0" fontId="53" fillId="2" borderId="1" xfId="0" applyFont="1" applyFill="1" applyBorder="1" applyAlignment="1">
      <alignment horizontal="center" vertical="center"/>
    </xf>
    <xf numFmtId="1" fontId="53" fillId="2" borderId="1" xfId="0" applyNumberFormat="1" applyFont="1" applyFill="1" applyBorder="1" applyAlignment="1">
      <alignment horizontal="center" vertical="center"/>
    </xf>
    <xf numFmtId="0" fontId="53" fillId="2" borderId="19" xfId="0" applyFont="1" applyFill="1" applyBorder="1" applyAlignment="1">
      <alignment horizontal="center" vertical="center"/>
    </xf>
    <xf numFmtId="1" fontId="51" fillId="33" borderId="82" xfId="0" applyNumberFormat="1" applyFont="1" applyFill="1" applyBorder="1" applyAlignment="1" applyProtection="1">
      <alignment horizontal="center" vertical="center"/>
      <protection locked="0"/>
    </xf>
    <xf numFmtId="14" fontId="53" fillId="33" borderId="16" xfId="0" applyNumberFormat="1" applyFont="1" applyFill="1" applyBorder="1" applyAlignment="1" applyProtection="1">
      <alignment horizontal="center" vertical="center"/>
      <protection locked="0"/>
    </xf>
    <xf numFmtId="1" fontId="51" fillId="33" borderId="18" xfId="0" applyNumberFormat="1" applyFont="1" applyFill="1" applyBorder="1" applyAlignment="1" applyProtection="1">
      <alignment horizontal="center" vertical="center"/>
      <protection locked="0"/>
    </xf>
    <xf numFmtId="1" fontId="51" fillId="2" borderId="5" xfId="0" applyNumberFormat="1" applyFont="1" applyFill="1" applyBorder="1" applyAlignment="1">
      <alignment horizontal="center" vertical="center"/>
    </xf>
    <xf numFmtId="1" fontId="51" fillId="10" borderId="64" xfId="0" applyNumberFormat="1" applyFont="1" applyFill="1" applyBorder="1" applyAlignment="1" applyProtection="1">
      <alignment horizontal="center" vertical="center"/>
      <protection locked="0"/>
    </xf>
    <xf numFmtId="1" fontId="51" fillId="2" borderId="1" xfId="0" applyNumberFormat="1" applyFont="1" applyFill="1" applyBorder="1" applyAlignment="1">
      <alignment horizontal="center" vertical="center" wrapText="1"/>
    </xf>
    <xf numFmtId="1" fontId="51" fillId="33" borderId="1" xfId="0" applyNumberFormat="1" applyFont="1" applyFill="1" applyBorder="1" applyAlignment="1" applyProtection="1">
      <alignment horizontal="center" vertical="center" wrapText="1"/>
      <protection locked="0"/>
    </xf>
    <xf numFmtId="1" fontId="51" fillId="2" borderId="1" xfId="0" applyNumberFormat="1" applyFont="1" applyFill="1" applyBorder="1" applyAlignment="1">
      <alignment horizontal="center" vertical="center"/>
    </xf>
    <xf numFmtId="1" fontId="51" fillId="33" borderId="1" xfId="0" applyNumberFormat="1" applyFont="1" applyFill="1" applyBorder="1" applyAlignment="1" applyProtection="1">
      <alignment horizontal="center" vertical="center"/>
      <protection locked="0"/>
    </xf>
    <xf numFmtId="1" fontId="51" fillId="2" borderId="19" xfId="0" applyNumberFormat="1" applyFont="1" applyFill="1" applyBorder="1" applyAlignment="1">
      <alignment horizontal="center" vertical="center"/>
    </xf>
    <xf numFmtId="1" fontId="51" fillId="33" borderId="19" xfId="0" applyNumberFormat="1" applyFont="1" applyFill="1" applyBorder="1" applyAlignment="1" applyProtection="1">
      <alignment horizontal="center" vertical="center"/>
      <protection locked="0"/>
    </xf>
    <xf numFmtId="0" fontId="53" fillId="33" borderId="16" xfId="0" applyFont="1" applyFill="1" applyBorder="1" applyAlignment="1" applyProtection="1">
      <alignment horizontal="center" vertical="center"/>
      <protection locked="0"/>
    </xf>
    <xf numFmtId="0" fontId="51" fillId="10" borderId="19" xfId="0" applyFont="1" applyFill="1" applyBorder="1" applyAlignment="1" applyProtection="1">
      <alignment horizontal="center" vertical="center"/>
      <protection locked="0"/>
    </xf>
    <xf numFmtId="1" fontId="51" fillId="37" borderId="30" xfId="0" applyNumberFormat="1" applyFont="1" applyFill="1" applyBorder="1" applyAlignment="1" applyProtection="1">
      <alignment horizontal="center" vertical="center"/>
      <protection locked="0"/>
    </xf>
    <xf numFmtId="0" fontId="51" fillId="37" borderId="31" xfId="0" applyFont="1" applyFill="1" applyBorder="1" applyAlignment="1" applyProtection="1">
      <alignment horizontal="center" vertical="center"/>
      <protection locked="0"/>
    </xf>
    <xf numFmtId="0" fontId="51" fillId="37" borderId="32" xfId="0" applyFont="1" applyFill="1" applyBorder="1" applyAlignment="1" applyProtection="1">
      <alignment horizontal="center" vertical="center"/>
      <protection locked="0"/>
    </xf>
    <xf numFmtId="0" fontId="53" fillId="10" borderId="29" xfId="0" applyFont="1" applyFill="1" applyBorder="1" applyAlignment="1" applyProtection="1">
      <alignment horizontal="center" vertical="center"/>
      <protection locked="0"/>
    </xf>
    <xf numFmtId="0" fontId="53" fillId="2" borderId="48" xfId="0" applyFont="1" applyFill="1" applyBorder="1" applyAlignment="1">
      <alignment horizontal="center" vertical="center"/>
    </xf>
    <xf numFmtId="0" fontId="53" fillId="2" borderId="7" xfId="0" applyFont="1" applyFill="1" applyBorder="1" applyAlignment="1">
      <alignment horizontal="center" vertical="center"/>
    </xf>
    <xf numFmtId="0" fontId="53" fillId="2" borderId="42" xfId="0" applyFont="1" applyFill="1" applyBorder="1" applyAlignment="1">
      <alignment horizontal="center" vertical="center"/>
    </xf>
    <xf numFmtId="0" fontId="53" fillId="2" borderId="4" xfId="0" applyFont="1" applyFill="1" applyBorder="1" applyAlignment="1">
      <alignment horizontal="center" vertical="center"/>
    </xf>
    <xf numFmtId="1" fontId="53" fillId="2" borderId="4" xfId="0" applyNumberFormat="1" applyFont="1" applyFill="1" applyBorder="1" applyAlignment="1">
      <alignment horizontal="center" vertical="center"/>
    </xf>
    <xf numFmtId="0" fontId="53" fillId="2" borderId="76" xfId="0" applyFont="1" applyFill="1" applyBorder="1" applyAlignment="1">
      <alignment horizontal="center" vertical="center"/>
    </xf>
    <xf numFmtId="0" fontId="53" fillId="33" borderId="46" xfId="0" applyFont="1" applyFill="1" applyBorder="1" applyAlignment="1" applyProtection="1">
      <alignment horizontal="center" vertical="center"/>
      <protection locked="0"/>
    </xf>
    <xf numFmtId="0" fontId="53" fillId="33" borderId="74" xfId="0" applyFont="1" applyFill="1" applyBorder="1" applyAlignment="1" applyProtection="1">
      <alignment horizontal="center" vertical="center"/>
      <protection locked="0"/>
    </xf>
    <xf numFmtId="1" fontId="51" fillId="33" borderId="42" xfId="0" applyNumberFormat="1" applyFont="1" applyFill="1" applyBorder="1" applyAlignment="1" applyProtection="1">
      <alignment horizontal="center" vertical="center"/>
      <protection locked="0"/>
    </xf>
    <xf numFmtId="1" fontId="51" fillId="10" borderId="75" xfId="0" applyNumberFormat="1" applyFont="1" applyFill="1" applyBorder="1" applyAlignment="1" applyProtection="1">
      <alignment horizontal="center" vertical="center"/>
      <protection locked="0"/>
    </xf>
    <xf numFmtId="1" fontId="51" fillId="2" borderId="4" xfId="0" applyNumberFormat="1" applyFont="1" applyFill="1" applyBorder="1" applyAlignment="1">
      <alignment horizontal="center" vertical="center" wrapText="1"/>
    </xf>
    <xf numFmtId="1" fontId="51" fillId="33" borderId="4" xfId="0" applyNumberFormat="1" applyFont="1" applyFill="1" applyBorder="1" applyAlignment="1" applyProtection="1">
      <alignment horizontal="center" vertical="center" wrapText="1"/>
      <protection locked="0"/>
    </xf>
    <xf numFmtId="1" fontId="51" fillId="2" borderId="4" xfId="0" applyNumberFormat="1" applyFont="1" applyFill="1" applyBorder="1" applyAlignment="1">
      <alignment horizontal="center" vertical="center"/>
    </xf>
    <xf numFmtId="1" fontId="51" fillId="33" borderId="4" xfId="0" applyNumberFormat="1" applyFont="1" applyFill="1" applyBorder="1" applyAlignment="1" applyProtection="1">
      <alignment horizontal="center" vertical="center"/>
      <protection locked="0"/>
    </xf>
    <xf numFmtId="1" fontId="51" fillId="2" borderId="76" xfId="0" applyNumberFormat="1" applyFont="1" applyFill="1" applyBorder="1" applyAlignment="1">
      <alignment horizontal="center" vertical="center"/>
    </xf>
    <xf numFmtId="1" fontId="51" fillId="33" borderId="76" xfId="0" applyNumberFormat="1" applyFont="1" applyFill="1" applyBorder="1" applyAlignment="1" applyProtection="1">
      <alignment horizontal="center" vertical="center"/>
      <protection locked="0"/>
    </xf>
    <xf numFmtId="0" fontId="51" fillId="40" borderId="40" xfId="0" applyFont="1" applyFill="1" applyBorder="1" applyAlignment="1">
      <alignment horizontal="center" vertical="center"/>
    </xf>
    <xf numFmtId="0" fontId="0" fillId="0" borderId="33" xfId="0" applyBorder="1"/>
    <xf numFmtId="0" fontId="42" fillId="0" borderId="0" xfId="0" applyFont="1"/>
    <xf numFmtId="0" fontId="80" fillId="0" borderId="0" xfId="0" applyFont="1"/>
    <xf numFmtId="0" fontId="0" fillId="0" borderId="0" xfId="0" applyProtection="1">
      <protection locked="0"/>
    </xf>
    <xf numFmtId="0" fontId="91" fillId="0" borderId="0" xfId="0" applyFont="1" applyAlignment="1" applyProtection="1">
      <alignment vertical="center"/>
      <protection locked="0"/>
    </xf>
    <xf numFmtId="0" fontId="91" fillId="0" borderId="31" xfId="0" applyFont="1" applyBorder="1" applyAlignment="1" applyProtection="1">
      <alignment vertical="center"/>
      <protection locked="0"/>
    </xf>
    <xf numFmtId="0" fontId="0" fillId="0" borderId="0" xfId="0" applyAlignment="1">
      <alignment horizontal="center" vertical="center"/>
    </xf>
    <xf numFmtId="0" fontId="46" fillId="0" borderId="32" xfId="0" applyFont="1" applyBorder="1" applyAlignment="1" applyProtection="1">
      <alignment horizontal="center" vertical="center"/>
      <protection locked="0"/>
    </xf>
    <xf numFmtId="0" fontId="85" fillId="35" borderId="83" xfId="0" applyFont="1" applyFill="1" applyBorder="1" applyAlignment="1" applyProtection="1">
      <alignment horizontal="center" vertical="center" wrapText="1"/>
      <protection locked="0"/>
    </xf>
    <xf numFmtId="0" fontId="51" fillId="0" borderId="0" xfId="0" applyFont="1" applyAlignment="1">
      <alignment horizontal="center" vertical="center" wrapText="1"/>
    </xf>
    <xf numFmtId="0" fontId="46" fillId="0" borderId="52" xfId="0" applyFont="1" applyBorder="1" applyAlignment="1" applyProtection="1">
      <alignment horizontal="center" vertical="center" wrapText="1"/>
      <protection locked="0"/>
    </xf>
    <xf numFmtId="0" fontId="51" fillId="35" borderId="71" xfId="0" applyFont="1" applyFill="1" applyBorder="1" applyAlignment="1" applyProtection="1">
      <alignment horizontal="center" vertical="center"/>
      <protection locked="0"/>
    </xf>
    <xf numFmtId="1" fontId="51" fillId="35" borderId="25" xfId="0" applyNumberFormat="1" applyFont="1" applyFill="1" applyBorder="1" applyAlignment="1" applyProtection="1">
      <alignment horizontal="center" vertical="center"/>
      <protection locked="0"/>
    </xf>
    <xf numFmtId="1" fontId="51" fillId="35" borderId="70" xfId="0" applyNumberFormat="1" applyFont="1" applyFill="1" applyBorder="1" applyAlignment="1" applyProtection="1">
      <alignment horizontal="center" vertical="center"/>
      <protection locked="0"/>
    </xf>
    <xf numFmtId="1" fontId="51" fillId="0" borderId="0" xfId="0" applyNumberFormat="1" applyFont="1" applyAlignment="1">
      <alignment horizontal="center" vertical="center"/>
    </xf>
    <xf numFmtId="0" fontId="80" fillId="0" borderId="44" xfId="0" applyFont="1" applyBorder="1" applyAlignment="1" applyProtection="1">
      <alignment horizontal="center" vertical="center"/>
      <protection locked="0"/>
    </xf>
    <xf numFmtId="0" fontId="51" fillId="33" borderId="9" xfId="0" applyFont="1" applyFill="1" applyBorder="1" applyAlignment="1" applyProtection="1">
      <alignment horizontal="center" vertical="center"/>
      <protection locked="0"/>
    </xf>
    <xf numFmtId="1" fontId="51" fillId="33" borderId="47" xfId="0" applyNumberFormat="1" applyFont="1" applyFill="1" applyBorder="1" applyAlignment="1" applyProtection="1">
      <alignment horizontal="center" vertical="center"/>
      <protection locked="0"/>
    </xf>
    <xf numFmtId="1" fontId="51" fillId="37" borderId="0" xfId="0" applyNumberFormat="1" applyFont="1" applyFill="1" applyAlignment="1" applyProtection="1">
      <alignment horizontal="center" vertical="center"/>
      <protection locked="0"/>
    </xf>
    <xf numFmtId="1" fontId="51" fillId="37" borderId="37" xfId="0" applyNumberFormat="1" applyFont="1" applyFill="1" applyBorder="1" applyAlignment="1" applyProtection="1">
      <alignment horizontal="center" vertical="center"/>
      <protection locked="0"/>
    </xf>
    <xf numFmtId="0" fontId="80" fillId="0" borderId="17" xfId="0" applyFont="1" applyBorder="1" applyAlignment="1" applyProtection="1">
      <alignment horizontal="center" vertical="center"/>
      <protection locked="0"/>
    </xf>
    <xf numFmtId="0" fontId="51" fillId="33" borderId="2" xfId="0" applyFont="1" applyFill="1" applyBorder="1" applyAlignment="1" applyProtection="1">
      <alignment horizontal="center" vertical="center"/>
      <protection locked="0"/>
    </xf>
    <xf numFmtId="1" fontId="51" fillId="33" borderId="5" xfId="0" applyNumberFormat="1" applyFont="1" applyFill="1" applyBorder="1" applyAlignment="1" applyProtection="1">
      <alignment horizontal="center" vertical="center"/>
      <protection locked="0"/>
    </xf>
    <xf numFmtId="0" fontId="46" fillId="0" borderId="46" xfId="0" applyFont="1" applyBorder="1" applyAlignment="1">
      <alignment horizontal="center" vertical="center"/>
    </xf>
    <xf numFmtId="0" fontId="51" fillId="2" borderId="2" xfId="0" applyFont="1" applyFill="1" applyBorder="1" applyAlignment="1">
      <alignment horizontal="center" vertical="center"/>
    </xf>
    <xf numFmtId="0" fontId="80" fillId="0" borderId="17" xfId="0" applyFont="1" applyBorder="1" applyAlignment="1">
      <alignment horizontal="center" vertical="center"/>
    </xf>
    <xf numFmtId="1" fontId="51" fillId="2" borderId="48" xfId="0" applyNumberFormat="1" applyFont="1" applyFill="1" applyBorder="1" applyAlignment="1">
      <alignment horizontal="center" vertical="center"/>
    </xf>
    <xf numFmtId="0" fontId="0" fillId="37" borderId="30" xfId="0" applyFill="1" applyBorder="1" applyAlignment="1" applyProtection="1">
      <alignment horizontal="center" vertical="center"/>
      <protection locked="0"/>
    </xf>
    <xf numFmtId="0" fontId="0" fillId="37" borderId="31" xfId="0" applyFill="1" applyBorder="1" applyAlignment="1" applyProtection="1">
      <alignment horizontal="center" vertical="center"/>
      <protection locked="0"/>
    </xf>
    <xf numFmtId="0" fontId="0" fillId="37" borderId="32"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6"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1" fontId="0" fillId="0" borderId="0" xfId="0" applyNumberFormat="1"/>
    <xf numFmtId="0" fontId="46" fillId="0" borderId="37" xfId="0" applyFont="1" applyBorder="1" applyAlignment="1" applyProtection="1">
      <alignment horizontal="center" vertical="center"/>
      <protection locked="0"/>
    </xf>
    <xf numFmtId="0" fontId="46" fillId="35" borderId="4" xfId="0" applyFont="1" applyFill="1" applyBorder="1" applyAlignment="1" applyProtection="1">
      <alignment horizontal="center" vertical="center"/>
      <protection locked="0"/>
    </xf>
    <xf numFmtId="1" fontId="51" fillId="35" borderId="26" xfId="0" applyNumberFormat="1" applyFont="1" applyFill="1" applyBorder="1" applyAlignment="1" applyProtection="1">
      <alignment horizontal="center" vertical="center"/>
      <protection locked="0"/>
    </xf>
    <xf numFmtId="0" fontId="0" fillId="37" borderId="33" xfId="0" applyFill="1" applyBorder="1" applyAlignment="1" applyProtection="1">
      <alignment horizontal="center" vertical="center"/>
      <protection locked="0"/>
    </xf>
    <xf numFmtId="0" fontId="0" fillId="37" borderId="0" xfId="0" applyFill="1" applyAlignment="1" applyProtection="1">
      <alignment horizontal="center" vertical="center"/>
      <protection locked="0"/>
    </xf>
    <xf numFmtId="0" fontId="0" fillId="37" borderId="37" xfId="0" applyFill="1" applyBorder="1" applyAlignment="1" applyProtection="1">
      <alignment horizontal="center" vertical="center"/>
      <protection locked="0"/>
    </xf>
    <xf numFmtId="0" fontId="0" fillId="0" borderId="37" xfId="0" applyBorder="1"/>
    <xf numFmtId="0" fontId="85" fillId="0" borderId="39" xfId="0" applyFont="1" applyBorder="1" applyAlignment="1">
      <alignment horizontal="center" vertical="center"/>
    </xf>
    <xf numFmtId="0" fontId="88" fillId="0" borderId="0" xfId="0" applyFont="1" applyAlignment="1" applyProtection="1">
      <alignment vertical="center" wrapText="1"/>
      <protection locked="0"/>
    </xf>
    <xf numFmtId="0" fontId="51" fillId="0" borderId="0" xfId="0" applyFont="1" applyAlignment="1" applyProtection="1">
      <alignment horizontal="left" wrapText="1"/>
      <protection locked="0"/>
    </xf>
    <xf numFmtId="0" fontId="85" fillId="34" borderId="83" xfId="0" applyFont="1" applyFill="1" applyBorder="1" applyAlignment="1">
      <alignment horizontal="center" vertical="center" wrapText="1"/>
    </xf>
    <xf numFmtId="0" fontId="85" fillId="34" borderId="59" xfId="0" applyFont="1" applyFill="1" applyBorder="1" applyAlignment="1">
      <alignment horizontal="center" vertical="center" wrapText="1"/>
    </xf>
    <xf numFmtId="0" fontId="85" fillId="34" borderId="84" xfId="0" applyFont="1" applyFill="1" applyBorder="1" applyAlignment="1">
      <alignment horizontal="center" vertical="center" wrapText="1"/>
    </xf>
    <xf numFmtId="0" fontId="51" fillId="35" borderId="9" xfId="0" applyFont="1" applyFill="1" applyBorder="1" applyAlignment="1" applyProtection="1">
      <alignment horizontal="center" vertical="center"/>
      <protection locked="0"/>
    </xf>
    <xf numFmtId="0" fontId="51" fillId="35" borderId="3" xfId="0" applyFont="1" applyFill="1" applyBorder="1" applyAlignment="1" applyProtection="1">
      <alignment horizontal="center" vertical="center"/>
      <protection locked="0"/>
    </xf>
    <xf numFmtId="1" fontId="51" fillId="35" borderId="3" xfId="0" quotePrefix="1" applyNumberFormat="1" applyFont="1" applyFill="1" applyBorder="1" applyAlignment="1" applyProtection="1">
      <alignment horizontal="center" vertical="center"/>
      <protection locked="0"/>
    </xf>
    <xf numFmtId="1" fontId="51" fillId="36" borderId="3" xfId="0" quotePrefix="1" applyNumberFormat="1" applyFont="1" applyFill="1" applyBorder="1" applyAlignment="1" applyProtection="1">
      <alignment horizontal="center" vertical="center"/>
      <protection locked="0"/>
    </xf>
    <xf numFmtId="1" fontId="51" fillId="36" borderId="3" xfId="0" applyNumberFormat="1" applyFont="1" applyFill="1" applyBorder="1" applyAlignment="1" applyProtection="1">
      <alignment horizontal="center" vertical="center" wrapText="1"/>
      <protection locked="0"/>
    </xf>
    <xf numFmtId="9" fontId="51" fillId="2" borderId="3" xfId="0" applyNumberFormat="1" applyFont="1" applyFill="1" applyBorder="1" applyAlignment="1">
      <alignment horizontal="center" vertical="center"/>
    </xf>
    <xf numFmtId="165" fontId="51" fillId="2" borderId="3" xfId="0" applyNumberFormat="1" applyFont="1" applyFill="1" applyBorder="1" applyAlignment="1">
      <alignment horizontal="center" vertical="center" wrapText="1"/>
    </xf>
    <xf numFmtId="165" fontId="51" fillId="2" borderId="3" xfId="0" applyNumberFormat="1" applyFont="1" applyFill="1" applyBorder="1" applyAlignment="1">
      <alignment horizontal="center" vertical="center"/>
    </xf>
    <xf numFmtId="2" fontId="51" fillId="37" borderId="3" xfId="0" applyNumberFormat="1" applyFont="1" applyFill="1" applyBorder="1" applyAlignment="1" applyProtection="1">
      <alignment horizontal="center" vertical="center"/>
      <protection locked="0"/>
    </xf>
    <xf numFmtId="0" fontId="51" fillId="35" borderId="2" xfId="0" applyFont="1" applyFill="1" applyBorder="1" applyAlignment="1" applyProtection="1">
      <alignment horizontal="center" vertical="center"/>
      <protection locked="0"/>
    </xf>
    <xf numFmtId="0" fontId="51" fillId="35" borderId="1" xfId="0" applyFont="1" applyFill="1" applyBorder="1" applyAlignment="1" applyProtection="1">
      <alignment horizontal="center" vertical="center"/>
      <protection locked="0"/>
    </xf>
    <xf numFmtId="1" fontId="51" fillId="35" borderId="1" xfId="0" quotePrefix="1" applyNumberFormat="1" applyFont="1" applyFill="1" applyBorder="1" applyAlignment="1" applyProtection="1">
      <alignment horizontal="center" vertical="center"/>
      <protection locked="0"/>
    </xf>
    <xf numFmtId="1" fontId="51" fillId="36" borderId="1" xfId="0" quotePrefix="1" applyNumberFormat="1" applyFont="1" applyFill="1" applyBorder="1" applyAlignment="1" applyProtection="1">
      <alignment horizontal="center" vertical="center"/>
      <protection locked="0"/>
    </xf>
    <xf numFmtId="1" fontId="51" fillId="36" borderId="1" xfId="0" applyNumberFormat="1" applyFont="1" applyFill="1" applyBorder="1" applyAlignment="1" applyProtection="1">
      <alignment horizontal="center" vertical="center" wrapText="1"/>
      <protection locked="0"/>
    </xf>
    <xf numFmtId="2" fontId="51" fillId="37" borderId="1" xfId="0" applyNumberFormat="1" applyFont="1" applyFill="1" applyBorder="1" applyAlignment="1" applyProtection="1">
      <alignment horizontal="center" vertical="center"/>
      <protection locked="0"/>
    </xf>
    <xf numFmtId="9" fontId="51" fillId="2" borderId="1" xfId="0" applyNumberFormat="1" applyFont="1" applyFill="1" applyBorder="1" applyAlignment="1">
      <alignment horizontal="center" vertical="center"/>
    </xf>
    <xf numFmtId="0" fontId="51" fillId="35" borderId="48" xfId="0" applyFont="1" applyFill="1" applyBorder="1" applyAlignment="1" applyProtection="1">
      <alignment horizontal="center" vertical="center" wrapText="1"/>
      <protection locked="0"/>
    </xf>
    <xf numFmtId="0" fontId="51" fillId="35" borderId="4" xfId="0" applyFont="1" applyFill="1" applyBorder="1" applyAlignment="1" applyProtection="1">
      <alignment horizontal="center" vertical="center"/>
      <protection locked="0"/>
    </xf>
    <xf numFmtId="1" fontId="51" fillId="35" borderId="4" xfId="0" quotePrefix="1" applyNumberFormat="1" applyFont="1" applyFill="1" applyBorder="1" applyAlignment="1" applyProtection="1">
      <alignment horizontal="center" vertical="center"/>
      <protection locked="0"/>
    </xf>
    <xf numFmtId="1" fontId="51" fillId="36" borderId="4" xfId="0" quotePrefix="1" applyNumberFormat="1" applyFont="1" applyFill="1" applyBorder="1" applyAlignment="1" applyProtection="1">
      <alignment horizontal="center" vertical="center"/>
      <protection locked="0"/>
    </xf>
    <xf numFmtId="1" fontId="51" fillId="36" borderId="4" xfId="0" applyNumberFormat="1" applyFont="1" applyFill="1" applyBorder="1" applyAlignment="1" applyProtection="1">
      <alignment horizontal="center" vertical="center" wrapText="1"/>
      <protection locked="0"/>
    </xf>
    <xf numFmtId="2" fontId="51" fillId="37" borderId="4" xfId="0" applyNumberFormat="1" applyFont="1" applyFill="1" applyBorder="1" applyAlignment="1" applyProtection="1">
      <alignment horizontal="center" vertical="center"/>
      <protection locked="0"/>
    </xf>
    <xf numFmtId="0" fontId="51" fillId="0" borderId="0" xfId="0" applyFont="1" applyAlignment="1" applyProtection="1">
      <alignment horizontal="center" wrapText="1"/>
      <protection locked="0"/>
    </xf>
    <xf numFmtId="0" fontId="51" fillId="0" borderId="0" xfId="0" applyFont="1" applyAlignment="1" applyProtection="1">
      <alignment horizontal="center"/>
      <protection locked="0"/>
    </xf>
    <xf numFmtId="1" fontId="51" fillId="0" borderId="0" xfId="0" quotePrefix="1" applyNumberFormat="1" applyFont="1" applyAlignment="1" applyProtection="1">
      <alignment horizontal="center"/>
      <protection locked="0"/>
    </xf>
    <xf numFmtId="1" fontId="51" fillId="0" borderId="0" xfId="0" applyNumberFormat="1" applyFont="1" applyAlignment="1" applyProtection="1">
      <alignment horizontal="center" wrapText="1"/>
      <protection locked="0"/>
    </xf>
    <xf numFmtId="9" fontId="84" fillId="0" borderId="0" xfId="0" applyNumberFormat="1" applyFont="1" applyAlignment="1">
      <alignment horizontal="center"/>
    </xf>
    <xf numFmtId="1" fontId="51" fillId="0" borderId="0" xfId="0" applyNumberFormat="1" applyFont="1" applyAlignment="1">
      <alignment horizontal="center"/>
    </xf>
    <xf numFmtId="2" fontId="51" fillId="0" borderId="0" xfId="0" applyNumberFormat="1" applyFont="1" applyAlignment="1" applyProtection="1">
      <alignment horizontal="center"/>
      <protection locked="0"/>
    </xf>
    <xf numFmtId="0" fontId="3" fillId="0" borderId="0" xfId="0" applyFont="1" applyAlignment="1">
      <alignment horizontal="left" vertical="center"/>
    </xf>
    <xf numFmtId="0" fontId="0" fillId="0" borderId="0" xfId="0" applyAlignment="1">
      <alignment horizontal="center" vertical="center" wrapText="1"/>
    </xf>
    <xf numFmtId="0" fontId="0" fillId="29"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lignment vertical="center" wrapText="1"/>
    </xf>
    <xf numFmtId="0" fontId="85" fillId="0" borderId="0" xfId="0" applyFont="1" applyAlignment="1">
      <alignment horizontal="center" vertical="center"/>
    </xf>
    <xf numFmtId="0" fontId="84" fillId="0" borderId="0" xfId="0" applyFont="1" applyAlignment="1">
      <alignment horizontal="left" vertical="center" wrapText="1"/>
    </xf>
    <xf numFmtId="0" fontId="53" fillId="0" borderId="0" xfId="0" applyFont="1" applyAlignment="1">
      <alignment horizontal="left" wrapText="1"/>
    </xf>
    <xf numFmtId="0" fontId="85" fillId="34" borderId="25" xfId="0" applyFont="1" applyFill="1" applyBorder="1" applyAlignment="1">
      <alignment horizontal="center" vertical="center"/>
    </xf>
    <xf numFmtId="0" fontId="53" fillId="37" borderId="33" xfId="0" applyFont="1" applyFill="1" applyBorder="1" applyProtection="1">
      <protection locked="0"/>
    </xf>
    <xf numFmtId="0" fontId="53" fillId="37" borderId="0" xfId="0" applyFont="1" applyFill="1" applyProtection="1">
      <protection locked="0"/>
    </xf>
    <xf numFmtId="0" fontId="53" fillId="37" borderId="37" xfId="0" applyFont="1" applyFill="1" applyBorder="1" applyProtection="1">
      <protection locked="0"/>
    </xf>
    <xf numFmtId="0" fontId="51" fillId="33" borderId="27" xfId="0" applyFont="1" applyFill="1" applyBorder="1" applyAlignment="1" applyProtection="1">
      <alignment horizontal="center" vertical="center" wrapText="1"/>
      <protection locked="0"/>
    </xf>
    <xf numFmtId="0" fontId="51" fillId="33" borderId="3" xfId="0" applyFont="1" applyFill="1" applyBorder="1" applyAlignment="1" applyProtection="1">
      <alignment horizontal="center" vertical="center" wrapText="1"/>
      <protection locked="0"/>
    </xf>
    <xf numFmtId="0" fontId="90" fillId="41" borderId="3" xfId="0" applyFont="1" applyFill="1" applyBorder="1" applyAlignment="1" applyProtection="1">
      <alignment horizontal="center" vertical="center" wrapText="1"/>
      <protection locked="0"/>
    </xf>
    <xf numFmtId="0" fontId="51" fillId="10" borderId="47" xfId="0" applyFont="1" applyFill="1" applyBorder="1" applyAlignment="1" applyProtection="1">
      <alignment horizontal="center" vertical="center" wrapText="1"/>
      <protection locked="0"/>
    </xf>
    <xf numFmtId="0" fontId="51" fillId="42" borderId="3" xfId="0" applyFont="1" applyFill="1" applyBorder="1" applyAlignment="1" applyProtection="1">
      <alignment horizontal="center" vertical="center" wrapText="1"/>
      <protection locked="0"/>
    </xf>
    <xf numFmtId="0" fontId="51" fillId="43" borderId="3" xfId="0" applyFont="1" applyFill="1" applyBorder="1" applyAlignment="1" applyProtection="1">
      <alignment horizontal="center" vertical="center" wrapText="1"/>
      <protection locked="0"/>
    </xf>
    <xf numFmtId="0" fontId="90" fillId="41" borderId="28" xfId="0" applyFont="1" applyFill="1" applyBorder="1" applyAlignment="1" applyProtection="1">
      <alignment horizontal="center" vertical="center" wrapText="1"/>
      <protection locked="0"/>
    </xf>
    <xf numFmtId="0" fontId="51" fillId="33" borderId="18" xfId="1474" applyFont="1" applyFill="1" applyBorder="1" applyAlignment="1" applyProtection="1">
      <alignment horizontal="center" vertical="center" wrapText="1"/>
      <protection locked="0"/>
    </xf>
    <xf numFmtId="0" fontId="51" fillId="33" borderId="1" xfId="0" applyFont="1" applyFill="1" applyBorder="1" applyAlignment="1" applyProtection="1">
      <alignment horizontal="center" vertical="center" wrapText="1"/>
      <protection locked="0"/>
    </xf>
    <xf numFmtId="0" fontId="51" fillId="10" borderId="5" xfId="0" applyFont="1" applyFill="1" applyBorder="1" applyAlignment="1" applyProtection="1">
      <alignment horizontal="center" vertical="center" wrapText="1"/>
      <protection locked="0"/>
    </xf>
    <xf numFmtId="0" fontId="90" fillId="41" borderId="1" xfId="0" applyFont="1" applyFill="1" applyBorder="1" applyAlignment="1" applyProtection="1">
      <alignment horizontal="center" vertical="center" wrapText="1"/>
      <protection locked="0"/>
    </xf>
    <xf numFmtId="0" fontId="51" fillId="42" borderId="1" xfId="0" applyFont="1" applyFill="1" applyBorder="1" applyAlignment="1" applyProtection="1">
      <alignment horizontal="center" vertical="center" wrapText="1"/>
      <protection locked="0"/>
    </xf>
    <xf numFmtId="0" fontId="51" fillId="43" borderId="1" xfId="0" applyFont="1" applyFill="1" applyBorder="1" applyAlignment="1" applyProtection="1">
      <alignment horizontal="center" vertical="center" wrapText="1"/>
      <protection locked="0"/>
    </xf>
    <xf numFmtId="0" fontId="90" fillId="41" borderId="19" xfId="0" applyFont="1" applyFill="1" applyBorder="1" applyAlignment="1" applyProtection="1">
      <alignment horizontal="center" vertical="center" wrapText="1"/>
      <protection locked="0"/>
    </xf>
    <xf numFmtId="0" fontId="51" fillId="33" borderId="18" xfId="0" applyFont="1" applyFill="1" applyBorder="1" applyAlignment="1" applyProtection="1">
      <alignment horizontal="center" vertical="center" wrapText="1"/>
      <protection locked="0"/>
    </xf>
    <xf numFmtId="0" fontId="51" fillId="33" borderId="12" xfId="0" applyFont="1" applyFill="1" applyBorder="1" applyAlignment="1" applyProtection="1">
      <alignment horizontal="center" vertical="center" wrapText="1"/>
      <protection locked="0"/>
    </xf>
    <xf numFmtId="1" fontId="51" fillId="33" borderId="12" xfId="0" applyNumberFormat="1" applyFont="1" applyFill="1" applyBorder="1" applyAlignment="1" applyProtection="1">
      <alignment horizontal="center" vertical="center" wrapText="1"/>
      <protection locked="0"/>
    </xf>
    <xf numFmtId="0" fontId="51" fillId="10" borderId="53" xfId="0" applyFont="1" applyFill="1" applyBorder="1" applyAlignment="1" applyProtection="1">
      <alignment horizontal="center" vertical="center" wrapText="1"/>
      <protection locked="0"/>
    </xf>
    <xf numFmtId="0" fontId="59" fillId="34" borderId="68" xfId="0" applyFont="1" applyFill="1" applyBorder="1" applyAlignment="1">
      <alignment horizontal="center" vertical="center"/>
    </xf>
    <xf numFmtId="0" fontId="51" fillId="44" borderId="28" xfId="0" applyFont="1" applyFill="1" applyBorder="1" applyAlignment="1">
      <alignment horizontal="center"/>
    </xf>
    <xf numFmtId="0" fontId="84" fillId="0" borderId="0" xfId="0" applyFont="1" applyAlignment="1">
      <alignment wrapText="1"/>
    </xf>
    <xf numFmtId="0" fontId="59" fillId="34" borderId="52" xfId="0" applyFont="1" applyFill="1" applyBorder="1" applyAlignment="1">
      <alignment horizontal="center" vertical="center"/>
    </xf>
    <xf numFmtId="0" fontId="51" fillId="44" borderId="19" xfId="0" applyFont="1" applyFill="1" applyBorder="1" applyAlignment="1">
      <alignment horizontal="center"/>
    </xf>
    <xf numFmtId="0" fontId="59" fillId="34" borderId="52" xfId="0" applyFont="1" applyFill="1" applyBorder="1" applyAlignment="1">
      <alignment horizontal="center"/>
    </xf>
    <xf numFmtId="0" fontId="53" fillId="0" borderId="0" xfId="0" applyFont="1" applyAlignment="1">
      <alignment vertical="center"/>
    </xf>
    <xf numFmtId="0" fontId="51" fillId="44" borderId="29" xfId="0" applyFont="1" applyFill="1" applyBorder="1" applyAlignment="1">
      <alignment horizontal="center"/>
    </xf>
    <xf numFmtId="166" fontId="53" fillId="0" borderId="0" xfId="0" applyNumberFormat="1" applyFont="1"/>
    <xf numFmtId="3" fontId="51" fillId="44" borderId="52" xfId="0" applyNumberFormat="1" applyFont="1" applyFill="1" applyBorder="1" applyAlignment="1">
      <alignment horizontal="center"/>
    </xf>
    <xf numFmtId="9" fontId="53" fillId="2" borderId="52" xfId="30" applyFont="1" applyFill="1" applyBorder="1" applyAlignment="1">
      <alignment horizontal="center"/>
    </xf>
    <xf numFmtId="9" fontId="53" fillId="0" borderId="0" xfId="30" applyFont="1" applyFill="1" applyBorder="1" applyAlignment="1">
      <alignment horizontal="center"/>
    </xf>
    <xf numFmtId="0" fontId="85" fillId="46" borderId="83" xfId="0" applyFont="1" applyFill="1" applyBorder="1" applyAlignment="1">
      <alignment horizontal="center" vertical="center" wrapText="1"/>
    </xf>
    <xf numFmtId="0" fontId="85" fillId="46" borderId="59" xfId="0" applyFont="1" applyFill="1" applyBorder="1" applyAlignment="1">
      <alignment horizontal="center" vertical="center" wrapText="1"/>
    </xf>
    <xf numFmtId="0" fontId="85" fillId="34" borderId="59" xfId="0" applyFont="1" applyFill="1" applyBorder="1" applyAlignment="1" applyProtection="1">
      <alignment horizontal="center" vertical="center" wrapText="1"/>
      <protection locked="0"/>
    </xf>
    <xf numFmtId="0" fontId="51" fillId="45" borderId="9" xfId="0" applyFont="1" applyFill="1" applyBorder="1" applyAlignment="1" applyProtection="1">
      <alignment horizontal="center" vertical="center"/>
      <protection locked="0"/>
    </xf>
    <xf numFmtId="0" fontId="51" fillId="47" borderId="3" xfId="0" applyFont="1" applyFill="1" applyBorder="1" applyAlignment="1" applyProtection="1">
      <alignment horizontal="center" vertical="center"/>
      <protection locked="0"/>
    </xf>
    <xf numFmtId="0" fontId="51" fillId="47" borderId="9" xfId="0" applyFont="1" applyFill="1" applyBorder="1" applyAlignment="1" applyProtection="1">
      <alignment horizontal="center" vertical="center"/>
      <protection locked="0"/>
    </xf>
    <xf numFmtId="0" fontId="51" fillId="45" borderId="11" xfId="0" applyFont="1" applyFill="1" applyBorder="1" applyAlignment="1" applyProtection="1">
      <alignment horizontal="center" vertical="center"/>
      <protection locked="0"/>
    </xf>
    <xf numFmtId="0" fontId="51" fillId="2" borderId="3" xfId="0" applyFont="1" applyFill="1" applyBorder="1" applyAlignment="1">
      <alignment horizontal="center" vertical="center"/>
    </xf>
    <xf numFmtId="2" fontId="51" fillId="44" borderId="3" xfId="0" applyNumberFormat="1" applyFont="1" applyFill="1" applyBorder="1" applyAlignment="1">
      <alignment horizontal="center" vertical="center" wrapText="1"/>
    </xf>
    <xf numFmtId="1" fontId="51" fillId="44" borderId="3" xfId="0" applyNumberFormat="1" applyFont="1" applyFill="1" applyBorder="1" applyAlignment="1">
      <alignment horizontal="center" vertical="center" wrapText="1"/>
    </xf>
    <xf numFmtId="2" fontId="51" fillId="44" borderId="3" xfId="0" applyNumberFormat="1" applyFont="1" applyFill="1" applyBorder="1" applyAlignment="1">
      <alignment horizontal="center" vertical="center"/>
    </xf>
    <xf numFmtId="0" fontId="51" fillId="44" borderId="3" xfId="0" applyFont="1" applyFill="1" applyBorder="1" applyAlignment="1">
      <alignment horizontal="center" vertical="center"/>
    </xf>
    <xf numFmtId="0" fontId="51" fillId="45" borderId="3" xfId="0" applyFont="1" applyFill="1" applyBorder="1" applyAlignment="1" applyProtection="1">
      <alignment horizontal="center" vertical="center"/>
      <protection locked="0"/>
    </xf>
    <xf numFmtId="0" fontId="51" fillId="41" borderId="3" xfId="0" applyFont="1" applyFill="1" applyBorder="1" applyAlignment="1" applyProtection="1">
      <alignment horizontal="center" vertical="center"/>
      <protection locked="0"/>
    </xf>
    <xf numFmtId="0" fontId="51" fillId="43" borderId="3" xfId="0" applyFont="1" applyFill="1" applyBorder="1" applyAlignment="1" applyProtection="1">
      <alignment horizontal="center" vertical="center"/>
      <protection locked="0"/>
    </xf>
    <xf numFmtId="0" fontId="51" fillId="37" borderId="47" xfId="0" applyFont="1" applyFill="1" applyBorder="1" applyAlignment="1" applyProtection="1">
      <alignment horizontal="center" vertical="center"/>
      <protection locked="0"/>
    </xf>
    <xf numFmtId="0" fontId="51" fillId="45" borderId="2" xfId="0" applyFont="1" applyFill="1" applyBorder="1" applyAlignment="1" applyProtection="1">
      <alignment horizontal="center" vertical="center"/>
      <protection locked="0"/>
    </xf>
    <xf numFmtId="0" fontId="51" fillId="47" borderId="1" xfId="0" applyFont="1" applyFill="1" applyBorder="1" applyAlignment="1" applyProtection="1">
      <alignment horizontal="center" vertical="center"/>
      <protection locked="0"/>
    </xf>
    <xf numFmtId="0" fontId="51" fillId="47" borderId="2" xfId="0" applyFont="1" applyFill="1" applyBorder="1" applyAlignment="1" applyProtection="1">
      <alignment horizontal="center" vertical="center"/>
      <protection locked="0"/>
    </xf>
    <xf numFmtId="0" fontId="51" fillId="45" borderId="6" xfId="0" applyFont="1" applyFill="1" applyBorder="1" applyAlignment="1" applyProtection="1">
      <alignment horizontal="center" vertical="center"/>
      <protection locked="0"/>
    </xf>
    <xf numFmtId="0" fontId="51" fillId="2" borderId="1" xfId="0" applyFont="1" applyFill="1" applyBorder="1" applyAlignment="1">
      <alignment horizontal="center" vertical="center"/>
    </xf>
    <xf numFmtId="2" fontId="51" fillId="44" borderId="1" xfId="0" applyNumberFormat="1" applyFont="1" applyFill="1" applyBorder="1" applyAlignment="1">
      <alignment horizontal="center" vertical="center"/>
    </xf>
    <xf numFmtId="1" fontId="51" fillId="44" borderId="1" xfId="0" applyNumberFormat="1" applyFont="1" applyFill="1" applyBorder="1" applyAlignment="1">
      <alignment horizontal="center" vertical="center"/>
    </xf>
    <xf numFmtId="0" fontId="51" fillId="44" borderId="1" xfId="0" applyFont="1" applyFill="1" applyBorder="1" applyAlignment="1">
      <alignment horizontal="center" vertical="center"/>
    </xf>
    <xf numFmtId="0" fontId="51" fillId="45" borderId="1" xfId="0" applyFont="1" applyFill="1" applyBorder="1" applyAlignment="1" applyProtection="1">
      <alignment horizontal="center" vertical="center"/>
      <protection locked="0"/>
    </xf>
    <xf numFmtId="0" fontId="51" fillId="41" borderId="1" xfId="0" applyFont="1" applyFill="1" applyBorder="1" applyAlignment="1" applyProtection="1">
      <alignment horizontal="center" vertical="center"/>
      <protection locked="0"/>
    </xf>
    <xf numFmtId="0" fontId="51" fillId="43" borderId="1" xfId="0" applyFont="1" applyFill="1" applyBorder="1" applyAlignment="1" applyProtection="1">
      <alignment horizontal="center" vertical="center"/>
      <protection locked="0"/>
    </xf>
    <xf numFmtId="0" fontId="51" fillId="37" borderId="5" xfId="0" applyFont="1" applyFill="1" applyBorder="1" applyAlignment="1" applyProtection="1">
      <alignment horizontal="center" vertical="center"/>
      <protection locked="0"/>
    </xf>
    <xf numFmtId="0" fontId="51" fillId="43" borderId="85" xfId="0" applyFont="1" applyFill="1" applyBorder="1" applyAlignment="1" applyProtection="1">
      <alignment horizontal="center" vertical="center"/>
      <protection locked="0"/>
    </xf>
    <xf numFmtId="0" fontId="51" fillId="45" borderId="5" xfId="0" applyFont="1" applyFill="1" applyBorder="1" applyAlignment="1" applyProtection="1">
      <alignment horizontal="center" vertical="center"/>
      <protection locked="0"/>
    </xf>
    <xf numFmtId="2" fontId="51" fillId="44" borderId="1" xfId="0" applyNumberFormat="1" applyFont="1" applyFill="1" applyBorder="1" applyAlignment="1" applyProtection="1">
      <alignment horizontal="center" vertical="center"/>
      <protection locked="0"/>
    </xf>
    <xf numFmtId="0" fontId="51" fillId="44" borderId="1" xfId="0" applyFont="1" applyFill="1" applyBorder="1" applyAlignment="1" applyProtection="1">
      <alignment horizontal="center" vertical="center"/>
      <protection locked="0"/>
    </xf>
    <xf numFmtId="0" fontId="51" fillId="45" borderId="48" xfId="0" applyFont="1" applyFill="1" applyBorder="1" applyAlignment="1" applyProtection="1">
      <alignment horizontal="center" vertical="center"/>
      <protection locked="0"/>
    </xf>
    <xf numFmtId="0" fontId="51" fillId="47" borderId="4" xfId="0" applyFont="1" applyFill="1" applyBorder="1" applyAlignment="1" applyProtection="1">
      <alignment horizontal="center" vertical="center"/>
      <protection locked="0"/>
    </xf>
    <xf numFmtId="0" fontId="51" fillId="47" borderId="48" xfId="0" applyFont="1" applyFill="1" applyBorder="1" applyAlignment="1" applyProtection="1">
      <alignment horizontal="center" vertical="center"/>
      <protection locked="0"/>
    </xf>
    <xf numFmtId="0" fontId="51" fillId="45" borderId="8" xfId="0" applyFont="1" applyFill="1" applyBorder="1" applyAlignment="1" applyProtection="1">
      <alignment horizontal="center" vertical="center"/>
      <protection locked="0"/>
    </xf>
    <xf numFmtId="0" fontId="51" fillId="2" borderId="4" xfId="0" applyFont="1" applyFill="1" applyBorder="1" applyAlignment="1">
      <alignment horizontal="center" vertical="center"/>
    </xf>
    <xf numFmtId="2" fontId="51" fillId="44" borderId="4" xfId="0" applyNumberFormat="1" applyFont="1" applyFill="1" applyBorder="1" applyAlignment="1">
      <alignment horizontal="center" vertical="center" wrapText="1"/>
    </xf>
    <xf numFmtId="1" fontId="51" fillId="44" borderId="4" xfId="0" applyNumberFormat="1" applyFont="1" applyFill="1" applyBorder="1" applyAlignment="1">
      <alignment horizontal="center" vertical="center" wrapText="1"/>
    </xf>
    <xf numFmtId="2" fontId="51" fillId="44" borderId="4" xfId="0" applyNumberFormat="1" applyFont="1" applyFill="1" applyBorder="1" applyAlignment="1">
      <alignment horizontal="center" vertical="center"/>
    </xf>
    <xf numFmtId="0" fontId="51" fillId="44" borderId="4" xfId="0" applyFont="1" applyFill="1" applyBorder="1" applyAlignment="1">
      <alignment horizontal="center" vertical="center"/>
    </xf>
    <xf numFmtId="0" fontId="51" fillId="47" borderId="12" xfId="0" applyFont="1" applyFill="1" applyBorder="1" applyAlignment="1" applyProtection="1">
      <alignment horizontal="center" vertical="center"/>
      <protection locked="0"/>
    </xf>
    <xf numFmtId="0" fontId="51" fillId="45" borderId="4" xfId="0" applyFont="1" applyFill="1" applyBorder="1" applyAlignment="1" applyProtection="1">
      <alignment horizontal="center" vertical="center"/>
      <protection locked="0"/>
    </xf>
    <xf numFmtId="0" fontId="51" fillId="41" borderId="4" xfId="0" applyFont="1" applyFill="1" applyBorder="1" applyAlignment="1" applyProtection="1">
      <alignment horizontal="center" vertical="center"/>
      <protection locked="0"/>
    </xf>
    <xf numFmtId="0" fontId="51" fillId="43" borderId="86" xfId="0" applyFont="1" applyFill="1" applyBorder="1" applyAlignment="1" applyProtection="1">
      <alignment horizontal="center" vertical="center"/>
      <protection locked="0"/>
    </xf>
    <xf numFmtId="0" fontId="51" fillId="43" borderId="4" xfId="0" applyFont="1" applyFill="1" applyBorder="1" applyAlignment="1" applyProtection="1">
      <alignment horizontal="center" vertical="center"/>
      <protection locked="0"/>
    </xf>
    <xf numFmtId="0" fontId="51" fillId="37" borderId="7" xfId="0" applyFont="1" applyFill="1" applyBorder="1" applyAlignment="1" applyProtection="1">
      <alignment horizontal="center" vertical="center"/>
      <protection locked="0"/>
    </xf>
    <xf numFmtId="0" fontId="85" fillId="0" borderId="0" xfId="0" applyFont="1" applyAlignment="1" applyProtection="1">
      <alignment horizontal="center"/>
      <protection locked="0"/>
    </xf>
    <xf numFmtId="0" fontId="87" fillId="0" borderId="0" xfId="0" applyFont="1"/>
    <xf numFmtId="0" fontId="59" fillId="0" borderId="0" xfId="0" applyFont="1" applyAlignment="1">
      <alignment horizontal="right"/>
    </xf>
    <xf numFmtId="0" fontId="85" fillId="0" borderId="3" xfId="0" applyFont="1" applyBorder="1" applyProtection="1">
      <protection locked="0"/>
    </xf>
    <xf numFmtId="0" fontId="59" fillId="0" borderId="0" xfId="0" applyFont="1" applyProtection="1">
      <protection locked="0"/>
    </xf>
    <xf numFmtId="0" fontId="59" fillId="0" borderId="39" xfId="0" applyFont="1" applyBorder="1" applyAlignment="1">
      <alignment horizontal="center"/>
    </xf>
    <xf numFmtId="0" fontId="51" fillId="47" borderId="14" xfId="0" applyFont="1" applyFill="1" applyBorder="1" applyAlignment="1" applyProtection="1">
      <alignment horizontal="center" vertical="center"/>
      <protection locked="0"/>
    </xf>
    <xf numFmtId="0" fontId="51" fillId="44" borderId="9" xfId="0" applyFont="1" applyFill="1" applyBorder="1" applyAlignment="1">
      <alignment horizontal="center" vertical="center"/>
    </xf>
    <xf numFmtId="1" fontId="51" fillId="44" borderId="3" xfId="0" applyNumberFormat="1" applyFont="1" applyFill="1" applyBorder="1" applyAlignment="1">
      <alignment horizontal="center" vertical="center"/>
    </xf>
    <xf numFmtId="2" fontId="51" fillId="2" borderId="3" xfId="0" applyNumberFormat="1" applyFont="1" applyFill="1" applyBorder="1" applyAlignment="1">
      <alignment horizontal="center" vertical="center"/>
    </xf>
    <xf numFmtId="2" fontId="51" fillId="2" borderId="1" xfId="0" applyNumberFormat="1" applyFont="1" applyFill="1" applyBorder="1" applyAlignment="1">
      <alignment horizontal="center" vertical="center"/>
    </xf>
    <xf numFmtId="0" fontId="51" fillId="44" borderId="2" xfId="0" applyFont="1" applyFill="1" applyBorder="1" applyAlignment="1">
      <alignment horizontal="center" vertical="center"/>
    </xf>
    <xf numFmtId="0" fontId="51" fillId="47" borderId="21" xfId="0" applyFont="1" applyFill="1" applyBorder="1" applyAlignment="1" applyProtection="1">
      <alignment horizontal="center" vertical="center"/>
      <protection locked="0"/>
    </xf>
    <xf numFmtId="0" fontId="51" fillId="44" borderId="48" xfId="0" applyFont="1" applyFill="1" applyBorder="1" applyAlignment="1">
      <alignment horizontal="center" vertical="center"/>
    </xf>
    <xf numFmtId="2" fontId="51" fillId="2" borderId="4" xfId="0" applyNumberFormat="1" applyFont="1" applyFill="1" applyBorder="1" applyAlignment="1">
      <alignment horizontal="center" vertical="center"/>
    </xf>
    <xf numFmtId="0" fontId="85" fillId="44" borderId="3" xfId="0" applyFont="1" applyFill="1" applyBorder="1" applyProtection="1">
      <protection locked="0"/>
    </xf>
    <xf numFmtId="0" fontId="53" fillId="37" borderId="34" xfId="0" applyFont="1" applyFill="1" applyBorder="1" applyProtection="1">
      <protection locked="0"/>
    </xf>
    <xf numFmtId="0" fontId="53" fillId="37" borderId="35" xfId="0" applyFont="1" applyFill="1" applyBorder="1" applyProtection="1">
      <protection locked="0"/>
    </xf>
    <xf numFmtId="0" fontId="53" fillId="37" borderId="36" xfId="0" applyFont="1" applyFill="1" applyBorder="1" applyProtection="1">
      <protection locked="0"/>
    </xf>
    <xf numFmtId="0" fontId="51" fillId="44" borderId="3" xfId="0" applyFont="1" applyFill="1" applyBorder="1" applyAlignment="1">
      <alignment horizontal="center" vertical="center" wrapText="1"/>
    </xf>
    <xf numFmtId="0" fontId="51" fillId="45" borderId="2" xfId="0" applyFont="1" applyFill="1" applyBorder="1" applyAlignment="1" applyProtection="1">
      <alignment horizontal="center" vertical="center" wrapText="1"/>
      <protection locked="0"/>
    </xf>
    <xf numFmtId="0" fontId="51" fillId="47" borderId="1" xfId="0" applyFont="1" applyFill="1" applyBorder="1" applyAlignment="1" applyProtection="1">
      <alignment horizontal="center" vertical="center" wrapText="1"/>
      <protection locked="0"/>
    </xf>
    <xf numFmtId="0" fontId="51" fillId="45" borderId="1" xfId="0" applyFont="1" applyFill="1" applyBorder="1" applyAlignment="1" applyProtection="1">
      <alignment horizontal="center" vertical="center" wrapText="1"/>
      <protection locked="0"/>
    </xf>
    <xf numFmtId="2" fontId="51" fillId="2" borderId="1" xfId="0" applyNumberFormat="1" applyFont="1" applyFill="1" applyBorder="1" applyAlignment="1">
      <alignment horizontal="center" vertical="center" wrapText="1"/>
    </xf>
    <xf numFmtId="0" fontId="51" fillId="37" borderId="5" xfId="0" applyFont="1" applyFill="1" applyBorder="1" applyAlignment="1" applyProtection="1">
      <alignment horizontal="center" vertical="center" wrapText="1"/>
      <protection locked="0"/>
    </xf>
    <xf numFmtId="0" fontId="51" fillId="45" borderId="48" xfId="0" applyFont="1" applyFill="1" applyBorder="1" applyAlignment="1" applyProtection="1">
      <alignment horizontal="center" vertical="center" wrapText="1"/>
      <protection locked="0"/>
    </xf>
    <xf numFmtId="0" fontId="51" fillId="47" borderId="4" xfId="0" applyFont="1" applyFill="1" applyBorder="1" applyAlignment="1" applyProtection="1">
      <alignment horizontal="center" vertical="center" wrapText="1"/>
      <protection locked="0"/>
    </xf>
    <xf numFmtId="0" fontId="51" fillId="45" borderId="4" xfId="0" applyFont="1" applyFill="1" applyBorder="1" applyAlignment="1" applyProtection="1">
      <alignment horizontal="center" vertical="center" wrapText="1"/>
      <protection locked="0"/>
    </xf>
    <xf numFmtId="1" fontId="51" fillId="44" borderId="4" xfId="0" applyNumberFormat="1" applyFont="1" applyFill="1" applyBorder="1" applyAlignment="1">
      <alignment horizontal="center" vertical="center"/>
    </xf>
    <xf numFmtId="2" fontId="51" fillId="2" borderId="4" xfId="0" applyNumberFormat="1" applyFont="1" applyFill="1" applyBorder="1" applyAlignment="1">
      <alignment horizontal="center" vertical="center" wrapText="1"/>
    </xf>
    <xf numFmtId="0" fontId="51" fillId="37" borderId="7" xfId="0" applyFont="1" applyFill="1" applyBorder="1" applyAlignment="1" applyProtection="1">
      <alignment horizontal="center" vertical="center" wrapText="1"/>
      <protection locked="0"/>
    </xf>
    <xf numFmtId="0" fontId="59" fillId="48" borderId="52" xfId="0" applyFont="1" applyFill="1" applyBorder="1" applyAlignment="1">
      <alignment horizontal="center" vertical="center" wrapText="1"/>
    </xf>
    <xf numFmtId="0" fontId="53" fillId="0" borderId="40" xfId="0" applyFont="1" applyBorder="1"/>
    <xf numFmtId="0" fontId="53" fillId="0" borderId="37" xfId="0" applyFont="1" applyBorder="1"/>
    <xf numFmtId="0" fontId="53" fillId="0" borderId="45" xfId="0" applyFont="1" applyBorder="1" applyAlignment="1">
      <alignment horizontal="center" vertical="center" wrapText="1"/>
    </xf>
    <xf numFmtId="0" fontId="53" fillId="49" borderId="52" xfId="0" applyFont="1" applyFill="1" applyBorder="1" applyAlignment="1">
      <alignment horizontal="center" vertical="center" wrapText="1"/>
    </xf>
    <xf numFmtId="0" fontId="53" fillId="0" borderId="68" xfId="0" applyFont="1" applyBorder="1" applyAlignment="1">
      <alignment horizontal="center" vertical="center" wrapText="1"/>
    </xf>
    <xf numFmtId="0" fontId="53" fillId="0" borderId="31" xfId="0" applyFont="1" applyBorder="1"/>
    <xf numFmtId="0" fontId="53" fillId="0" borderId="33" xfId="0" applyFont="1" applyBorder="1"/>
    <xf numFmtId="0" fontId="53" fillId="0" borderId="33" xfId="0" applyFont="1" applyBorder="1" applyAlignment="1">
      <alignment vertical="center"/>
    </xf>
    <xf numFmtId="0" fontId="98" fillId="34" borderId="52" xfId="0" applyFont="1" applyFill="1" applyBorder="1" applyAlignment="1">
      <alignment horizontal="center"/>
    </xf>
    <xf numFmtId="0" fontId="99" fillId="2" borderId="41" xfId="0" applyFont="1" applyFill="1" applyBorder="1" applyAlignment="1">
      <alignment horizontal="center"/>
    </xf>
    <xf numFmtId="0" fontId="99" fillId="2" borderId="52" xfId="0" applyFont="1" applyFill="1" applyBorder="1" applyAlignment="1">
      <alignment horizontal="center"/>
    </xf>
    <xf numFmtId="0" fontId="100" fillId="0" borderId="0" xfId="0" applyFont="1"/>
    <xf numFmtId="0" fontId="51" fillId="37" borderId="34" xfId="0" applyFont="1" applyFill="1" applyBorder="1"/>
    <xf numFmtId="0" fontId="84" fillId="34" borderId="36" xfId="0" applyFont="1" applyFill="1" applyBorder="1"/>
    <xf numFmtId="0" fontId="0" fillId="34" borderId="33" xfId="0" applyFill="1" applyBorder="1"/>
    <xf numFmtId="0" fontId="42" fillId="34" borderId="37" xfId="0" applyFont="1" applyFill="1" applyBorder="1"/>
    <xf numFmtId="0" fontId="0" fillId="34" borderId="13" xfId="0" applyFill="1" applyBorder="1" applyAlignment="1">
      <alignment horizontal="center"/>
    </xf>
    <xf numFmtId="0" fontId="3" fillId="34" borderId="14" xfId="0" applyFont="1" applyFill="1" applyBorder="1" applyAlignment="1">
      <alignment horizontal="center"/>
    </xf>
    <xf numFmtId="0" fontId="3" fillId="34" borderId="15" xfId="0" applyFont="1" applyFill="1" applyBorder="1" applyAlignment="1">
      <alignment horizontal="center"/>
    </xf>
    <xf numFmtId="0" fontId="0" fillId="37" borderId="0" xfId="0" applyFill="1" applyProtection="1">
      <protection locked="0"/>
    </xf>
    <xf numFmtId="0" fontId="0" fillId="37" borderId="37" xfId="0" applyFill="1" applyBorder="1" applyProtection="1">
      <protection locked="0"/>
    </xf>
    <xf numFmtId="0" fontId="3" fillId="40" borderId="18" xfId="0" applyFont="1" applyFill="1" applyBorder="1" applyAlignment="1">
      <alignment horizontal="center" vertical="center"/>
    </xf>
    <xf numFmtId="0" fontId="51" fillId="44" borderId="1" xfId="0" applyFont="1" applyFill="1" applyBorder="1" applyAlignment="1">
      <alignment horizontal="center" vertical="center" wrapText="1"/>
    </xf>
    <xf numFmtId="0" fontId="0" fillId="35" borderId="19" xfId="0" applyFill="1" applyBorder="1" applyAlignment="1" applyProtection="1">
      <alignment horizontal="center" vertical="center"/>
      <protection locked="0"/>
    </xf>
    <xf numFmtId="0" fontId="42" fillId="0" borderId="0" xfId="0" applyFont="1" applyAlignment="1">
      <alignment horizontal="center" vertical="center"/>
    </xf>
    <xf numFmtId="0" fontId="42" fillId="37" borderId="0" xfId="0" applyFont="1" applyFill="1" applyAlignment="1" applyProtection="1">
      <alignment horizontal="center" vertical="center" wrapText="1"/>
      <protection locked="0"/>
    </xf>
    <xf numFmtId="0" fontId="42" fillId="37" borderId="37" xfId="0"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0" xfId="0" applyFont="1" applyAlignment="1">
      <alignment horizontal="center" vertical="center" wrapText="1"/>
    </xf>
    <xf numFmtId="0" fontId="3" fillId="40" borderId="20" xfId="0" applyFont="1" applyFill="1" applyBorder="1" applyAlignment="1">
      <alignment horizontal="center" vertical="center"/>
    </xf>
    <xf numFmtId="0" fontId="51" fillId="44" borderId="21" xfId="0" applyFont="1" applyFill="1" applyBorder="1" applyAlignment="1">
      <alignment horizontal="center" vertical="center"/>
    </xf>
    <xf numFmtId="0" fontId="0" fillId="35" borderId="29" xfId="0" applyFill="1" applyBorder="1" applyAlignment="1" applyProtection="1">
      <alignment horizontal="center" vertical="center"/>
      <protection locked="0"/>
    </xf>
    <xf numFmtId="0" fontId="0" fillId="37" borderId="33" xfId="0" applyFill="1" applyBorder="1" applyProtection="1">
      <protection locked="0"/>
    </xf>
    <xf numFmtId="0" fontId="42" fillId="37" borderId="0" xfId="0" applyFont="1" applyFill="1" applyProtection="1">
      <protection locked="0"/>
    </xf>
    <xf numFmtId="0" fontId="3" fillId="40" borderId="18" xfId="0" applyFont="1" applyFill="1" applyBorder="1" applyAlignment="1">
      <alignment horizontal="center" vertical="center" wrapText="1"/>
    </xf>
    <xf numFmtId="0" fontId="42" fillId="37" borderId="33" xfId="0" applyFont="1" applyFill="1" applyBorder="1" applyAlignment="1" applyProtection="1">
      <alignment horizontal="center" vertical="center"/>
      <protection locked="0"/>
    </xf>
    <xf numFmtId="0" fontId="42" fillId="37" borderId="0" xfId="0" applyFont="1" applyFill="1" applyAlignment="1" applyProtection="1">
      <alignment horizontal="center" vertical="center"/>
      <protection locked="0"/>
    </xf>
    <xf numFmtId="0" fontId="51" fillId="44" borderId="21" xfId="0" applyFont="1" applyFill="1" applyBorder="1" applyAlignment="1">
      <alignment horizontal="center" vertical="center" wrapText="1"/>
    </xf>
    <xf numFmtId="0" fontId="42" fillId="37" borderId="31" xfId="0" applyFont="1" applyFill="1" applyBorder="1" applyAlignment="1" applyProtection="1">
      <alignment horizontal="center" vertical="center"/>
      <protection locked="0"/>
    </xf>
    <xf numFmtId="0" fontId="84" fillId="0" borderId="0" xfId="0" applyFont="1" applyAlignment="1">
      <alignment vertical="top" wrapText="1"/>
    </xf>
    <xf numFmtId="0" fontId="85" fillId="0" borderId="0" xfId="0" applyFont="1" applyAlignment="1">
      <alignment horizontal="left" wrapText="1"/>
    </xf>
    <xf numFmtId="0" fontId="85" fillId="0" borderId="0" xfId="0" applyFont="1" applyAlignment="1">
      <alignment horizontal="left" vertical="top" wrapText="1"/>
    </xf>
    <xf numFmtId="0" fontId="85" fillId="46" borderId="34" xfId="0" applyFont="1" applyFill="1" applyBorder="1" applyAlignment="1">
      <alignment horizontal="center" vertical="center" wrapText="1"/>
    </xf>
    <xf numFmtId="0" fontId="85" fillId="46" borderId="69" xfId="0" applyFont="1" applyFill="1" applyBorder="1" applyAlignment="1">
      <alignment horizontal="center" vertical="center" wrapText="1"/>
    </xf>
    <xf numFmtId="0" fontId="85" fillId="34" borderId="69" xfId="0" applyFont="1" applyFill="1" applyBorder="1" applyAlignment="1">
      <alignment horizontal="center" vertical="center" wrapText="1"/>
    </xf>
    <xf numFmtId="0" fontId="85" fillId="46" borderId="62" xfId="0" applyFont="1" applyFill="1" applyBorder="1" applyAlignment="1">
      <alignment horizontal="center" vertical="center" wrapText="1"/>
    </xf>
    <xf numFmtId="0" fontId="85" fillId="0" borderId="0" xfId="0" applyFont="1" applyAlignment="1">
      <alignment horizontal="center" vertical="center" wrapText="1"/>
    </xf>
    <xf numFmtId="0" fontId="85" fillId="34" borderId="62" xfId="0" applyFont="1" applyFill="1" applyBorder="1" applyAlignment="1">
      <alignment horizontal="center" vertical="center" wrapText="1"/>
    </xf>
    <xf numFmtId="0" fontId="85" fillId="37" borderId="0" xfId="0" applyFont="1" applyFill="1" applyAlignment="1" applyProtection="1">
      <alignment horizontal="center" vertical="center" wrapText="1"/>
      <protection locked="0"/>
    </xf>
    <xf numFmtId="0" fontId="53" fillId="0" borderId="0" xfId="0" applyFont="1" applyAlignment="1">
      <alignment horizontal="center" vertical="center" wrapText="1"/>
    </xf>
    <xf numFmtId="0" fontId="51" fillId="50" borderId="35" xfId="0" applyFont="1" applyFill="1" applyBorder="1" applyAlignment="1">
      <alignment horizontal="center" vertical="center" wrapText="1"/>
    </xf>
    <xf numFmtId="0" fontId="51" fillId="50" borderId="69" xfId="0" applyFont="1" applyFill="1" applyBorder="1" applyAlignment="1">
      <alignment horizontal="center" vertical="center" wrapText="1"/>
    </xf>
    <xf numFmtId="0" fontId="51" fillId="41" borderId="69" xfId="0" applyFont="1" applyFill="1" applyBorder="1" applyAlignment="1">
      <alignment horizontal="center" vertical="center" wrapText="1"/>
    </xf>
    <xf numFmtId="0" fontId="51" fillId="41" borderId="62" xfId="0" applyFont="1" applyFill="1" applyBorder="1" applyAlignment="1">
      <alignment horizontal="center" vertical="center" wrapText="1"/>
    </xf>
    <xf numFmtId="0" fontId="51" fillId="41" borderId="34" xfId="0" applyFont="1" applyFill="1" applyBorder="1" applyAlignment="1">
      <alignment horizontal="center" vertical="center" wrapText="1"/>
    </xf>
    <xf numFmtId="0" fontId="51" fillId="43" borderId="69" xfId="0" applyFont="1" applyFill="1" applyBorder="1" applyAlignment="1">
      <alignment horizontal="center" vertical="center" wrapText="1"/>
    </xf>
    <xf numFmtId="0" fontId="51" fillId="37" borderId="69" xfId="0"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53" fillId="37" borderId="33" xfId="0" applyFont="1" applyFill="1" applyBorder="1" applyAlignment="1" applyProtection="1">
      <alignment horizontal="center" vertical="center" wrapText="1"/>
      <protection locked="0"/>
    </xf>
    <xf numFmtId="0" fontId="51" fillId="37" borderId="0" xfId="0" applyFont="1" applyFill="1" applyAlignment="1" applyProtection="1">
      <alignment horizontal="center" vertical="center" wrapText="1"/>
      <protection locked="0"/>
    </xf>
    <xf numFmtId="0" fontId="101" fillId="37" borderId="0" xfId="0" applyFont="1" applyFill="1" applyAlignment="1" applyProtection="1">
      <alignment horizontal="center" vertical="center" wrapText="1"/>
      <protection locked="0"/>
    </xf>
    <xf numFmtId="0" fontId="53" fillId="37" borderId="0" xfId="0" applyFont="1" applyFill="1" applyAlignment="1" applyProtection="1">
      <alignment horizontal="center" vertical="center" wrapText="1"/>
      <protection locked="0"/>
    </xf>
    <xf numFmtId="0" fontId="53" fillId="37" borderId="37" xfId="0" applyFont="1" applyFill="1" applyBorder="1" applyAlignment="1" applyProtection="1">
      <alignment horizontal="center" vertical="center" wrapText="1"/>
      <protection locked="0"/>
    </xf>
    <xf numFmtId="0" fontId="51" fillId="50" borderId="35" xfId="0" applyFont="1" applyFill="1" applyBorder="1" applyAlignment="1" applyProtection="1">
      <alignment horizontal="center" vertical="center" wrapText="1"/>
      <protection locked="0"/>
    </xf>
    <xf numFmtId="0" fontId="51" fillId="50" borderId="69" xfId="0" applyFont="1" applyFill="1" applyBorder="1" applyAlignment="1" applyProtection="1">
      <alignment horizontal="center" vertical="center" wrapText="1"/>
      <protection locked="0"/>
    </xf>
    <xf numFmtId="0" fontId="51" fillId="41" borderId="69" xfId="0" applyFont="1" applyFill="1" applyBorder="1" applyAlignment="1" applyProtection="1">
      <alignment horizontal="center" vertical="center" wrapText="1"/>
      <protection locked="0"/>
    </xf>
    <xf numFmtId="0" fontId="51" fillId="41" borderId="62" xfId="0" applyFont="1" applyFill="1" applyBorder="1" applyAlignment="1" applyProtection="1">
      <alignment horizontal="center" vertical="center" wrapText="1"/>
      <protection locked="0"/>
    </xf>
    <xf numFmtId="0" fontId="51" fillId="41" borderId="34" xfId="0" applyFont="1" applyFill="1" applyBorder="1" applyAlignment="1" applyProtection="1">
      <alignment horizontal="center" vertical="center" wrapText="1"/>
      <protection locked="0"/>
    </xf>
    <xf numFmtId="0" fontId="51" fillId="43" borderId="69" xfId="0" applyFont="1" applyFill="1" applyBorder="1" applyAlignment="1" applyProtection="1">
      <alignment horizontal="center" vertical="center" wrapText="1"/>
      <protection locked="0"/>
    </xf>
    <xf numFmtId="0" fontId="51" fillId="37" borderId="69" xfId="0" applyFont="1" applyFill="1" applyBorder="1" applyAlignment="1" applyProtection="1">
      <alignment horizontal="center" vertical="center" wrapText="1"/>
      <protection locked="0"/>
    </xf>
    <xf numFmtId="0" fontId="51" fillId="50" borderId="8" xfId="0" applyFont="1" applyFill="1" applyBorder="1" applyAlignment="1" applyProtection="1">
      <alignment horizontal="center" vertical="center" wrapText="1"/>
      <protection locked="0"/>
    </xf>
    <xf numFmtId="0" fontId="51" fillId="50" borderId="7" xfId="0" applyFont="1" applyFill="1" applyBorder="1" applyAlignment="1" applyProtection="1">
      <alignment horizontal="center" vertical="center" wrapText="1"/>
      <protection locked="0"/>
    </xf>
    <xf numFmtId="0" fontId="51" fillId="41" borderId="7" xfId="0" applyFont="1" applyFill="1" applyBorder="1" applyAlignment="1" applyProtection="1">
      <alignment horizontal="center" vertical="center" wrapText="1"/>
      <protection locked="0"/>
    </xf>
    <xf numFmtId="0" fontId="51" fillId="41" borderId="76" xfId="0" applyFont="1" applyFill="1" applyBorder="1" applyAlignment="1" applyProtection="1">
      <alignment horizontal="center" vertical="center" wrapText="1"/>
      <protection locked="0"/>
    </xf>
    <xf numFmtId="0" fontId="51" fillId="41" borderId="74" xfId="0" applyFont="1" applyFill="1" applyBorder="1" applyAlignment="1" applyProtection="1">
      <alignment horizontal="center" vertical="center" wrapText="1"/>
      <protection locked="0"/>
    </xf>
    <xf numFmtId="0" fontId="51" fillId="43" borderId="7" xfId="0" applyFont="1" applyFill="1" applyBorder="1" applyAlignment="1" applyProtection="1">
      <alignment horizontal="center" vertical="center" wrapText="1"/>
      <protection locked="0"/>
    </xf>
    <xf numFmtId="0" fontId="53" fillId="37" borderId="30" xfId="0" applyFont="1" applyFill="1" applyBorder="1" applyAlignment="1" applyProtection="1">
      <alignment horizontal="center" vertical="center" wrapText="1"/>
      <protection locked="0"/>
    </xf>
    <xf numFmtId="0" fontId="51" fillId="37" borderId="31" xfId="0" applyFont="1" applyFill="1" applyBorder="1" applyAlignment="1" applyProtection="1">
      <alignment horizontal="center" vertical="center" wrapText="1"/>
      <protection locked="0"/>
    </xf>
    <xf numFmtId="0" fontId="101" fillId="37" borderId="31" xfId="0" applyFont="1" applyFill="1" applyBorder="1" applyAlignment="1" applyProtection="1">
      <alignment horizontal="center" vertical="center" wrapText="1"/>
      <protection locked="0"/>
    </xf>
    <xf numFmtId="0" fontId="53" fillId="37" borderId="32" xfId="0" applyFont="1" applyFill="1" applyBorder="1" applyAlignment="1" applyProtection="1">
      <alignment horizontal="center" vertical="center" wrapText="1"/>
      <protection locked="0"/>
    </xf>
    <xf numFmtId="0" fontId="51" fillId="50" borderId="51" xfId="0" applyFont="1" applyFill="1" applyBorder="1" applyAlignment="1" applyProtection="1">
      <alignment horizontal="center" vertical="center" wrapText="1"/>
      <protection locked="0"/>
    </xf>
    <xf numFmtId="0" fontId="51" fillId="50" borderId="22" xfId="0" applyFont="1" applyFill="1" applyBorder="1" applyAlignment="1" applyProtection="1">
      <alignment horizontal="center" vertical="center" wrapText="1"/>
      <protection locked="0"/>
    </xf>
    <xf numFmtId="0" fontId="51" fillId="41" borderId="22" xfId="0" applyFont="1" applyFill="1" applyBorder="1" applyAlignment="1" applyProtection="1">
      <alignment horizontal="center" vertical="center" wrapText="1"/>
      <protection locked="0"/>
    </xf>
    <xf numFmtId="0" fontId="51" fillId="41" borderId="29" xfId="0" applyFont="1" applyFill="1" applyBorder="1" applyAlignment="1" applyProtection="1">
      <alignment horizontal="center" vertical="center" wrapText="1"/>
      <protection locked="0"/>
    </xf>
    <xf numFmtId="0" fontId="51" fillId="41" borderId="77" xfId="0" applyFont="1" applyFill="1" applyBorder="1" applyAlignment="1" applyProtection="1">
      <alignment horizontal="center" vertical="center" wrapText="1"/>
      <protection locked="0"/>
    </xf>
    <xf numFmtId="0" fontId="51" fillId="42" borderId="22" xfId="0" applyFont="1" applyFill="1" applyBorder="1" applyAlignment="1" applyProtection="1">
      <alignment horizontal="center" vertical="center" wrapText="1"/>
      <protection locked="0"/>
    </xf>
    <xf numFmtId="0" fontId="51" fillId="43" borderId="22" xfId="0" applyFont="1" applyFill="1" applyBorder="1" applyAlignment="1" applyProtection="1">
      <alignment horizontal="center" vertical="center" wrapText="1"/>
      <protection locked="0"/>
    </xf>
    <xf numFmtId="0" fontId="51" fillId="37" borderId="22" xfId="0" applyFont="1" applyFill="1" applyBorder="1" applyAlignment="1" applyProtection="1">
      <alignment horizontal="center" vertical="center" wrapText="1"/>
      <protection locked="0"/>
    </xf>
    <xf numFmtId="0" fontId="51" fillId="0" borderId="0" xfId="0" applyFont="1" applyAlignment="1" applyProtection="1">
      <alignment horizontal="left" vertical="top" wrapText="1"/>
      <protection locked="0"/>
    </xf>
    <xf numFmtId="0" fontId="90" fillId="0" borderId="0" xfId="0" applyFont="1" applyAlignment="1" applyProtection="1">
      <alignment horizontal="center"/>
      <protection locked="0"/>
    </xf>
    <xf numFmtId="0" fontId="51" fillId="0" borderId="0" xfId="0" applyFont="1" applyAlignment="1" applyProtection="1">
      <alignment horizontal="left" vertical="top"/>
      <protection locked="0"/>
    </xf>
    <xf numFmtId="0" fontId="101" fillId="0" borderId="0" xfId="0" applyFont="1" applyAlignment="1" applyProtection="1">
      <alignment horizontal="left" vertical="top"/>
      <protection locked="0"/>
    </xf>
    <xf numFmtId="0" fontId="85" fillId="10" borderId="41" xfId="0" applyFont="1" applyFill="1" applyBorder="1" applyAlignment="1" applyProtection="1">
      <alignment horizontal="center" vertical="center"/>
      <protection locked="0"/>
    </xf>
    <xf numFmtId="0" fontId="53" fillId="0" borderId="0" xfId="0" applyFont="1" applyAlignment="1">
      <alignment horizontal="right"/>
    </xf>
    <xf numFmtId="0" fontId="51" fillId="0" borderId="0" xfId="0" applyFont="1" applyAlignment="1">
      <alignment horizontal="center"/>
    </xf>
    <xf numFmtId="0" fontId="59" fillId="39" borderId="52" xfId="0" applyFont="1" applyFill="1" applyBorder="1" applyAlignment="1">
      <alignment horizontal="center" vertical="center"/>
    </xf>
    <xf numFmtId="2" fontId="51" fillId="50" borderId="34" xfId="0" applyNumberFormat="1" applyFont="1" applyFill="1" applyBorder="1" applyAlignment="1">
      <alignment horizontal="center" vertical="center" wrapText="1"/>
    </xf>
    <xf numFmtId="0" fontId="51" fillId="50" borderId="34" xfId="0" applyFont="1" applyFill="1" applyBorder="1" applyAlignment="1">
      <alignment horizontal="center" vertical="center" wrapText="1"/>
    </xf>
    <xf numFmtId="0" fontId="51" fillId="52" borderId="62" xfId="0" applyFont="1" applyFill="1" applyBorder="1" applyAlignment="1">
      <alignment horizontal="center" vertical="center" wrapText="1"/>
    </xf>
    <xf numFmtId="2" fontId="51" fillId="50" borderId="34" xfId="0" applyNumberFormat="1" applyFont="1" applyFill="1" applyBorder="1" applyAlignment="1" applyProtection="1">
      <alignment horizontal="center" vertical="center" wrapText="1"/>
      <protection locked="0"/>
    </xf>
    <xf numFmtId="0" fontId="51" fillId="50" borderId="34" xfId="0" applyFont="1" applyFill="1" applyBorder="1" applyAlignment="1" applyProtection="1">
      <alignment horizontal="center" vertical="center" wrapText="1"/>
      <protection locked="0"/>
    </xf>
    <xf numFmtId="0" fontId="51" fillId="52" borderId="62" xfId="0" applyFont="1" applyFill="1" applyBorder="1" applyAlignment="1" applyProtection="1">
      <alignment horizontal="center" vertical="center" wrapText="1"/>
      <protection locked="0"/>
    </xf>
    <xf numFmtId="2" fontId="51" fillId="50" borderId="74" xfId="0" applyNumberFormat="1" applyFont="1" applyFill="1" applyBorder="1" applyAlignment="1" applyProtection="1">
      <alignment horizontal="center" vertical="center" wrapText="1"/>
      <protection locked="0"/>
    </xf>
    <xf numFmtId="0" fontId="51" fillId="50" borderId="74" xfId="0" applyFont="1" applyFill="1" applyBorder="1" applyAlignment="1" applyProtection="1">
      <alignment horizontal="center" vertical="center" wrapText="1"/>
      <protection locked="0"/>
    </xf>
    <xf numFmtId="0" fontId="51" fillId="52" borderId="76" xfId="0" applyFont="1" applyFill="1" applyBorder="1" applyAlignment="1" applyProtection="1">
      <alignment horizontal="center" vertical="center" wrapText="1"/>
      <protection locked="0"/>
    </xf>
    <xf numFmtId="0" fontId="53" fillId="37" borderId="31" xfId="0" applyFont="1" applyFill="1" applyBorder="1" applyAlignment="1" applyProtection="1">
      <alignment horizontal="center" vertical="center" wrapText="1"/>
      <protection locked="0"/>
    </xf>
    <xf numFmtId="0" fontId="51" fillId="50" borderId="77" xfId="0" applyFont="1" applyFill="1" applyBorder="1" applyAlignment="1" applyProtection="1">
      <alignment horizontal="center" vertical="center" wrapText="1"/>
      <protection locked="0"/>
    </xf>
    <xf numFmtId="0" fontId="51" fillId="52" borderId="29" xfId="0" applyFont="1" applyFill="1" applyBorder="1" applyAlignment="1" applyProtection="1">
      <alignment horizontal="center" vertical="center" wrapText="1"/>
      <protection locked="0"/>
    </xf>
    <xf numFmtId="0" fontId="51" fillId="0" borderId="0" xfId="0" applyFont="1" applyAlignment="1">
      <alignment horizontal="center" wrapText="1"/>
    </xf>
    <xf numFmtId="2" fontId="51" fillId="0" borderId="0" xfId="0" applyNumberFormat="1" applyFont="1" applyAlignment="1">
      <alignment horizontal="center"/>
    </xf>
    <xf numFmtId="0" fontId="51" fillId="0" borderId="0" xfId="0" applyFont="1" applyAlignment="1">
      <alignment horizontal="left" vertical="top"/>
    </xf>
    <xf numFmtId="0" fontId="53" fillId="0" borderId="0" xfId="0" applyFont="1" applyAlignment="1" applyProtection="1">
      <alignment horizontal="left" vertical="top" wrapText="1"/>
      <protection locked="0"/>
    </xf>
    <xf numFmtId="0" fontId="85" fillId="46" borderId="35" xfId="0" applyFont="1" applyFill="1" applyBorder="1" applyAlignment="1">
      <alignment horizontal="center" vertical="center" wrapText="1"/>
    </xf>
    <xf numFmtId="0" fontId="102" fillId="0" borderId="0" xfId="0" applyFont="1"/>
    <xf numFmtId="0" fontId="51" fillId="52" borderId="69" xfId="0" applyFont="1" applyFill="1" applyBorder="1" applyAlignment="1" applyProtection="1">
      <alignment horizontal="center" vertical="center" wrapText="1"/>
      <protection locked="0"/>
    </xf>
    <xf numFmtId="0" fontId="51" fillId="37" borderId="33" xfId="0" applyFont="1" applyFill="1" applyBorder="1" applyAlignment="1" applyProtection="1">
      <alignment horizontal="center" vertical="center" wrapText="1"/>
      <protection locked="0"/>
    </xf>
    <xf numFmtId="0" fontId="51" fillId="37" borderId="37" xfId="0" applyFont="1" applyFill="1" applyBorder="1" applyAlignment="1" applyProtection="1">
      <alignment horizontal="center" vertical="center" wrapText="1"/>
      <protection locked="0"/>
    </xf>
    <xf numFmtId="0" fontId="51" fillId="52" borderId="7" xfId="0" applyFont="1" applyFill="1" applyBorder="1" applyAlignment="1" applyProtection="1">
      <alignment horizontal="center" vertical="center" wrapText="1"/>
      <protection locked="0"/>
    </xf>
    <xf numFmtId="0" fontId="51" fillId="52" borderId="22" xfId="0" applyFont="1" applyFill="1" applyBorder="1" applyAlignment="1" applyProtection="1">
      <alignment horizontal="center" vertical="center" wrapText="1"/>
      <protection locked="0"/>
    </xf>
    <xf numFmtId="0" fontId="51" fillId="37" borderId="30" xfId="0" applyFont="1" applyFill="1" applyBorder="1" applyAlignment="1" applyProtection="1">
      <alignment horizontal="center" vertical="center" wrapText="1"/>
      <protection locked="0"/>
    </xf>
    <xf numFmtId="0" fontId="51" fillId="37" borderId="32" xfId="0" applyFont="1" applyFill="1" applyBorder="1" applyAlignment="1" applyProtection="1">
      <alignment horizontal="center" vertical="center" wrapText="1"/>
      <protection locked="0"/>
    </xf>
    <xf numFmtId="0" fontId="51" fillId="0" borderId="0" xfId="0" applyFont="1" applyAlignment="1">
      <alignment horizontal="left" vertical="top" wrapText="1"/>
    </xf>
    <xf numFmtId="0" fontId="51" fillId="0" borderId="0" xfId="0" applyFont="1" applyAlignment="1">
      <alignment horizontal="center" vertical="top" wrapText="1"/>
    </xf>
    <xf numFmtId="0" fontId="51" fillId="0" borderId="0" xfId="0" applyFont="1" applyAlignment="1">
      <alignment horizontal="center" vertical="top"/>
    </xf>
    <xf numFmtId="0" fontId="101" fillId="0" borderId="0" xfId="0" applyFont="1" applyAlignment="1">
      <alignment horizontal="center" vertical="top"/>
    </xf>
    <xf numFmtId="0" fontId="85" fillId="46" borderId="24" xfId="0" applyFont="1" applyFill="1" applyBorder="1" applyAlignment="1">
      <alignment horizontal="center" vertical="center" wrapText="1"/>
    </xf>
    <xf numFmtId="0" fontId="85" fillId="46" borderId="25" xfId="0" applyFont="1" applyFill="1" applyBorder="1" applyAlignment="1">
      <alignment horizontal="center" vertical="center" wrapText="1"/>
    </xf>
    <xf numFmtId="0" fontId="51" fillId="50" borderId="9" xfId="0" applyFont="1" applyFill="1" applyBorder="1" applyAlignment="1" applyProtection="1">
      <alignment horizontal="center" vertical="center" wrapText="1"/>
      <protection locked="0"/>
    </xf>
    <xf numFmtId="0" fontId="51" fillId="50" borderId="3" xfId="0" applyFont="1" applyFill="1" applyBorder="1" applyAlignment="1" applyProtection="1">
      <alignment horizontal="center" vertical="center" wrapText="1"/>
      <protection locked="0"/>
    </xf>
    <xf numFmtId="0" fontId="51" fillId="52" borderId="3" xfId="0" applyFont="1" applyFill="1" applyBorder="1" applyAlignment="1" applyProtection="1">
      <alignment horizontal="center" vertical="center" wrapText="1"/>
      <protection locked="0"/>
    </xf>
    <xf numFmtId="0" fontId="51" fillId="41" borderId="3" xfId="0" applyFont="1" applyFill="1" applyBorder="1" applyAlignment="1" applyProtection="1">
      <alignment horizontal="center" vertical="center" wrapText="1"/>
      <protection locked="0"/>
    </xf>
    <xf numFmtId="0" fontId="51" fillId="37" borderId="47" xfId="0" applyFont="1" applyFill="1" applyBorder="1" applyAlignment="1" applyProtection="1">
      <alignment horizontal="center" vertical="center" wrapText="1"/>
      <protection locked="0"/>
    </xf>
    <xf numFmtId="0" fontId="51" fillId="50" borderId="2" xfId="0" applyFont="1" applyFill="1" applyBorder="1" applyAlignment="1" applyProtection="1">
      <alignment horizontal="center" vertical="center" wrapText="1"/>
      <protection locked="0"/>
    </xf>
    <xf numFmtId="0" fontId="51" fillId="50" borderId="1" xfId="0" applyFont="1" applyFill="1" applyBorder="1" applyAlignment="1" applyProtection="1">
      <alignment horizontal="center" vertical="center" wrapText="1"/>
      <protection locked="0"/>
    </xf>
    <xf numFmtId="0" fontId="51" fillId="52" borderId="1" xfId="0" applyFont="1" applyFill="1" applyBorder="1" applyAlignment="1" applyProtection="1">
      <alignment horizontal="center" vertical="center" wrapText="1"/>
      <protection locked="0"/>
    </xf>
    <xf numFmtId="0" fontId="51" fillId="41" borderId="1" xfId="0" applyFont="1" applyFill="1" applyBorder="1" applyAlignment="1" applyProtection="1">
      <alignment horizontal="center" vertical="center" wrapText="1"/>
      <protection locked="0"/>
    </xf>
    <xf numFmtId="0" fontId="51" fillId="50" borderId="48" xfId="0" applyFont="1" applyFill="1" applyBorder="1" applyAlignment="1" applyProtection="1">
      <alignment horizontal="center" vertical="center" wrapText="1"/>
      <protection locked="0"/>
    </xf>
    <xf numFmtId="0" fontId="51" fillId="50" borderId="4" xfId="0" applyFont="1" applyFill="1" applyBorder="1" applyAlignment="1" applyProtection="1">
      <alignment horizontal="center" vertical="center" wrapText="1"/>
      <protection locked="0"/>
    </xf>
    <xf numFmtId="0" fontId="51" fillId="52" borderId="4" xfId="0" applyFont="1" applyFill="1" applyBorder="1" applyAlignment="1" applyProtection="1">
      <alignment horizontal="center" vertical="center" wrapText="1"/>
      <protection locked="0"/>
    </xf>
    <xf numFmtId="0" fontId="51" fillId="41" borderId="4" xfId="0" applyFont="1" applyFill="1" applyBorder="1" applyAlignment="1" applyProtection="1">
      <alignment horizontal="center" vertical="center" wrapText="1"/>
      <protection locked="0"/>
    </xf>
    <xf numFmtId="0" fontId="51" fillId="43" borderId="4" xfId="0" applyFont="1" applyFill="1" applyBorder="1" applyAlignment="1" applyProtection="1">
      <alignment horizontal="center" vertical="center" wrapText="1"/>
      <protection locked="0"/>
    </xf>
    <xf numFmtId="0" fontId="53" fillId="0" borderId="0" xfId="0" applyFont="1" applyAlignment="1">
      <alignment horizontal="center"/>
    </xf>
    <xf numFmtId="0" fontId="53" fillId="0" borderId="0" xfId="0" applyFont="1" applyAlignment="1">
      <alignment vertical="top" wrapText="1"/>
    </xf>
    <xf numFmtId="0" fontId="59" fillId="2" borderId="15" xfId="0" applyFont="1" applyFill="1" applyBorder="1" applyAlignment="1">
      <alignment horizontal="center" vertical="center"/>
    </xf>
    <xf numFmtId="0" fontId="51" fillId="34" borderId="66" xfId="0" applyFont="1" applyFill="1" applyBorder="1" applyAlignment="1">
      <alignment horizontal="center" vertical="center"/>
    </xf>
    <xf numFmtId="0" fontId="51" fillId="33" borderId="3" xfId="0" applyFont="1" applyFill="1" applyBorder="1" applyAlignment="1" applyProtection="1">
      <alignment horizontal="center" vertical="center"/>
      <protection locked="0"/>
    </xf>
    <xf numFmtId="0" fontId="51" fillId="33" borderId="47" xfId="0" applyFont="1" applyFill="1" applyBorder="1" applyAlignment="1" applyProtection="1">
      <alignment horizontal="center" vertical="center"/>
      <protection locked="0"/>
    </xf>
    <xf numFmtId="0" fontId="59" fillId="2" borderId="19" xfId="0" applyFont="1" applyFill="1" applyBorder="1" applyAlignment="1">
      <alignment horizontal="center" vertical="center"/>
    </xf>
    <xf numFmtId="0" fontId="51" fillId="34" borderId="64" xfId="0" applyFont="1" applyFill="1" applyBorder="1" applyAlignment="1">
      <alignment horizontal="center" vertical="center"/>
    </xf>
    <xf numFmtId="0" fontId="51" fillId="33" borderId="1" xfId="0" applyFont="1" applyFill="1" applyBorder="1" applyAlignment="1" applyProtection="1">
      <alignment horizontal="center" vertical="center"/>
      <protection locked="0"/>
    </xf>
    <xf numFmtId="0" fontId="51" fillId="33" borderId="5" xfId="0" applyFont="1" applyFill="1" applyBorder="1" applyAlignment="1" applyProtection="1">
      <alignment horizontal="center" vertical="center"/>
      <protection locked="0"/>
    </xf>
    <xf numFmtId="0" fontId="59" fillId="2" borderId="29" xfId="0" applyFont="1" applyFill="1" applyBorder="1" applyAlignment="1">
      <alignment horizontal="center" vertical="center"/>
    </xf>
    <xf numFmtId="0" fontId="51" fillId="34" borderId="65" xfId="0" applyFont="1" applyFill="1" applyBorder="1" applyAlignment="1">
      <alignment horizontal="center" vertical="center"/>
    </xf>
    <xf numFmtId="0" fontId="51" fillId="10" borderId="48" xfId="0" applyFont="1" applyFill="1" applyBorder="1" applyAlignment="1" applyProtection="1">
      <alignment horizontal="center" vertical="center"/>
      <protection locked="0"/>
    </xf>
    <xf numFmtId="0" fontId="51" fillId="10" borderId="4" xfId="0" applyFont="1" applyFill="1" applyBorder="1" applyAlignment="1" applyProtection="1">
      <alignment horizontal="center" vertical="center"/>
      <protection locked="0"/>
    </xf>
    <xf numFmtId="0" fontId="51" fillId="10" borderId="7" xfId="0" applyFont="1" applyFill="1" applyBorder="1" applyAlignment="1" applyProtection="1">
      <alignment horizontal="center" vertical="center"/>
      <protection locked="0"/>
    </xf>
    <xf numFmtId="0" fontId="102" fillId="0" borderId="0" xfId="0" applyFont="1" applyAlignment="1">
      <alignment horizontal="center" vertical="center"/>
    </xf>
    <xf numFmtId="0" fontId="85" fillId="30" borderId="24" xfId="1475" applyFont="1" applyFill="1" applyBorder="1" applyAlignment="1">
      <alignment horizontal="center" vertical="center"/>
    </xf>
    <xf numFmtId="0" fontId="85" fillId="30" borderId="25" xfId="1475" applyFont="1" applyFill="1" applyBorder="1" applyAlignment="1">
      <alignment horizontal="center" vertical="center"/>
    </xf>
    <xf numFmtId="0" fontId="85" fillId="30" borderId="70" xfId="1475" applyFont="1" applyFill="1" applyBorder="1" applyAlignment="1">
      <alignment horizontal="center" vertical="center"/>
    </xf>
    <xf numFmtId="0" fontId="85" fillId="30" borderId="39" xfId="1475" applyFont="1" applyFill="1" applyBorder="1" applyAlignment="1">
      <alignment horizontal="center" vertical="center"/>
    </xf>
    <xf numFmtId="0" fontId="85" fillId="30" borderId="52" xfId="1475" applyFont="1" applyFill="1" applyBorder="1" applyAlignment="1">
      <alignment horizontal="center" vertical="center"/>
    </xf>
    <xf numFmtId="0" fontId="85" fillId="0" borderId="0" xfId="1475" applyFont="1" applyAlignment="1">
      <alignment horizontal="center" vertical="center"/>
    </xf>
    <xf numFmtId="0" fontId="85" fillId="30" borderId="26" xfId="1475" applyFont="1" applyFill="1" applyBorder="1" applyAlignment="1">
      <alignment horizontal="center" vertical="center"/>
    </xf>
    <xf numFmtId="0" fontId="51" fillId="30" borderId="40" xfId="1475" applyFont="1" applyFill="1" applyBorder="1" applyAlignment="1">
      <alignment horizontal="center" vertical="center"/>
    </xf>
    <xf numFmtId="0" fontId="51" fillId="40" borderId="87" xfId="0" applyFont="1" applyFill="1" applyBorder="1" applyAlignment="1">
      <alignment horizontal="center" vertical="center"/>
    </xf>
    <xf numFmtId="0" fontId="51" fillId="40" borderId="88" xfId="0" applyFont="1" applyFill="1" applyBorder="1" applyAlignment="1">
      <alignment horizontal="center" vertical="center"/>
    </xf>
    <xf numFmtId="0" fontId="51" fillId="34" borderId="57" xfId="0" applyFont="1" applyFill="1" applyBorder="1" applyAlignment="1">
      <alignment horizontal="center" vertical="center"/>
    </xf>
    <xf numFmtId="0" fontId="51" fillId="34" borderId="58" xfId="0" applyFont="1" applyFill="1" applyBorder="1" applyAlignment="1">
      <alignment horizontal="center" vertical="center"/>
    </xf>
    <xf numFmtId="0" fontId="51" fillId="34" borderId="69" xfId="0" applyFont="1" applyFill="1" applyBorder="1" applyAlignment="1">
      <alignment horizontal="center" vertical="center"/>
    </xf>
    <xf numFmtId="0" fontId="51" fillId="34" borderId="34" xfId="0" applyFont="1" applyFill="1" applyBorder="1" applyAlignment="1">
      <alignment horizontal="center" vertical="center"/>
    </xf>
    <xf numFmtId="0" fontId="51" fillId="34" borderId="49" xfId="0" applyFont="1" applyFill="1" applyBorder="1" applyAlignment="1">
      <alignment horizontal="center" vertical="center"/>
    </xf>
    <xf numFmtId="0" fontId="51" fillId="34" borderId="24" xfId="0" applyFont="1" applyFill="1" applyBorder="1" applyAlignment="1">
      <alignment horizontal="center" vertical="center"/>
    </xf>
    <xf numFmtId="0" fontId="51" fillId="34" borderId="25" xfId="0" applyFont="1" applyFill="1" applyBorder="1" applyAlignment="1">
      <alignment horizontal="center" vertical="center"/>
    </xf>
    <xf numFmtId="0" fontId="51" fillId="34" borderId="26" xfId="0" applyFont="1" applyFill="1" applyBorder="1" applyAlignment="1">
      <alignment horizontal="center" vertical="center"/>
    </xf>
    <xf numFmtId="0" fontId="102" fillId="0" borderId="89" xfId="0" applyFont="1" applyBorder="1" applyAlignment="1">
      <alignment horizontal="center" vertical="center"/>
    </xf>
    <xf numFmtId="0" fontId="51" fillId="40" borderId="35" xfId="0" applyFont="1" applyFill="1" applyBorder="1" applyAlignment="1">
      <alignment horizontal="center" vertical="center"/>
    </xf>
    <xf numFmtId="0" fontId="51" fillId="40" borderId="83" xfId="0" applyFont="1" applyFill="1" applyBorder="1" applyAlignment="1">
      <alignment horizontal="center" vertical="center"/>
    </xf>
    <xf numFmtId="0" fontId="51" fillId="40" borderId="84" xfId="0" applyFont="1" applyFill="1" applyBorder="1" applyAlignment="1">
      <alignment horizontal="center" vertical="center"/>
    </xf>
    <xf numFmtId="0" fontId="51" fillId="33" borderId="13" xfId="0" applyFont="1" applyFill="1" applyBorder="1" applyAlignment="1" applyProtection="1">
      <alignment horizontal="center" vertical="center"/>
      <protection locked="0"/>
    </xf>
    <xf numFmtId="0" fontId="51" fillId="10" borderId="14" xfId="0" applyFont="1" applyFill="1" applyBorder="1" applyAlignment="1" applyProtection="1">
      <alignment horizontal="center" vertical="center"/>
      <protection locked="0"/>
    </xf>
    <xf numFmtId="3" fontId="51" fillId="33" borderId="72" xfId="0" applyNumberFormat="1" applyFont="1" applyFill="1" applyBorder="1" applyAlignment="1" applyProtection="1">
      <alignment horizontal="center" vertical="center"/>
      <protection locked="0"/>
    </xf>
    <xf numFmtId="3" fontId="51" fillId="33" borderId="13" xfId="0" applyNumberFormat="1" applyFont="1" applyFill="1" applyBorder="1" applyAlignment="1" applyProtection="1">
      <alignment horizontal="center" vertical="center"/>
      <protection locked="0"/>
    </xf>
    <xf numFmtId="166" fontId="51" fillId="2" borderId="15" xfId="0" applyNumberFormat="1" applyFont="1" applyFill="1" applyBorder="1" applyAlignment="1">
      <alignment horizontal="center" vertical="center"/>
    </xf>
    <xf numFmtId="0" fontId="51" fillId="33" borderId="27" xfId="0" applyFont="1" applyFill="1" applyBorder="1" applyAlignment="1" applyProtection="1">
      <alignment horizontal="center" vertical="center"/>
      <protection locked="0"/>
    </xf>
    <xf numFmtId="0" fontId="51" fillId="33" borderId="28" xfId="0" applyFont="1" applyFill="1" applyBorder="1" applyAlignment="1" applyProtection="1">
      <alignment horizontal="center" vertical="center"/>
      <protection locked="0"/>
    </xf>
    <xf numFmtId="0" fontId="51" fillId="7" borderId="0" xfId="0" applyFont="1" applyFill="1" applyAlignment="1">
      <alignment horizontal="center" vertical="center"/>
    </xf>
    <xf numFmtId="0" fontId="51" fillId="2" borderId="14" xfId="0" applyFont="1" applyFill="1" applyBorder="1" applyAlignment="1">
      <alignment horizontal="center" vertical="center"/>
    </xf>
    <xf numFmtId="0" fontId="51" fillId="2" borderId="35" xfId="0" applyFont="1" applyFill="1" applyBorder="1" applyAlignment="1">
      <alignment horizontal="center" vertical="center"/>
    </xf>
    <xf numFmtId="0" fontId="51" fillId="33" borderId="18" xfId="0" applyFont="1" applyFill="1" applyBorder="1" applyAlignment="1" applyProtection="1">
      <alignment horizontal="center" vertical="center"/>
      <protection locked="0"/>
    </xf>
    <xf numFmtId="0" fontId="51" fillId="10" borderId="1" xfId="0" applyFont="1" applyFill="1" applyBorder="1" applyAlignment="1" applyProtection="1">
      <alignment horizontal="center" vertical="center"/>
      <protection locked="0"/>
    </xf>
    <xf numFmtId="3" fontId="51" fillId="33" borderId="5" xfId="0" applyNumberFormat="1" applyFont="1" applyFill="1" applyBorder="1" applyAlignment="1" applyProtection="1">
      <alignment horizontal="center" vertical="center"/>
      <protection locked="0"/>
    </xf>
    <xf numFmtId="3" fontId="51" fillId="33" borderId="18" xfId="0" applyNumberFormat="1" applyFont="1" applyFill="1" applyBorder="1" applyAlignment="1" applyProtection="1">
      <alignment horizontal="center" vertical="center"/>
      <protection locked="0"/>
    </xf>
    <xf numFmtId="166" fontId="51" fillId="2" borderId="19" xfId="0" applyNumberFormat="1" applyFont="1" applyFill="1" applyBorder="1" applyAlignment="1">
      <alignment horizontal="center" vertical="center"/>
    </xf>
    <xf numFmtId="0" fontId="51" fillId="33" borderId="19" xfId="0" applyFont="1" applyFill="1" applyBorder="1" applyAlignment="1" applyProtection="1">
      <alignment horizontal="center" vertical="center"/>
      <protection locked="0"/>
    </xf>
    <xf numFmtId="0" fontId="51" fillId="2" borderId="33" xfId="0" applyFont="1" applyFill="1" applyBorder="1" applyAlignment="1">
      <alignment horizontal="center" vertical="center"/>
    </xf>
    <xf numFmtId="0" fontId="51" fillId="2" borderId="0" xfId="0" applyFont="1" applyFill="1" applyAlignment="1">
      <alignment horizontal="center" vertical="center"/>
    </xf>
    <xf numFmtId="0" fontId="51" fillId="33" borderId="20" xfId="0" applyFont="1" applyFill="1" applyBorder="1" applyAlignment="1" applyProtection="1">
      <alignment horizontal="center" vertical="center"/>
      <protection locked="0"/>
    </xf>
    <xf numFmtId="0" fontId="51" fillId="10" borderId="21" xfId="0" applyFont="1" applyFill="1" applyBorder="1" applyAlignment="1" applyProtection="1">
      <alignment horizontal="center" vertical="center"/>
      <protection locked="0"/>
    </xf>
    <xf numFmtId="3" fontId="51" fillId="33" borderId="22" xfId="0" applyNumberFormat="1" applyFont="1" applyFill="1" applyBorder="1" applyAlignment="1" applyProtection="1">
      <alignment horizontal="center" vertical="center"/>
      <protection locked="0"/>
    </xf>
    <xf numFmtId="3" fontId="51" fillId="33" borderId="20" xfId="0" applyNumberFormat="1" applyFont="1" applyFill="1" applyBorder="1" applyAlignment="1" applyProtection="1">
      <alignment horizontal="center" vertical="center"/>
      <protection locked="0"/>
    </xf>
    <xf numFmtId="0" fontId="51" fillId="33" borderId="42" xfId="0" applyFont="1" applyFill="1" applyBorder="1" applyAlignment="1" applyProtection="1">
      <alignment horizontal="center" vertical="center"/>
      <protection locked="0"/>
    </xf>
    <xf numFmtId="0" fontId="51" fillId="33" borderId="4" xfId="0" applyFont="1" applyFill="1" applyBorder="1" applyAlignment="1" applyProtection="1">
      <alignment horizontal="center" vertical="center"/>
      <protection locked="0"/>
    </xf>
    <xf numFmtId="0" fontId="51" fillId="33" borderId="76" xfId="0" applyFont="1" applyFill="1" applyBorder="1" applyAlignment="1" applyProtection="1">
      <alignment horizontal="center" vertical="center"/>
      <protection locked="0"/>
    </xf>
    <xf numFmtId="0" fontId="51" fillId="2" borderId="21" xfId="0" applyFont="1" applyFill="1" applyBorder="1" applyAlignment="1">
      <alignment horizontal="center" vertical="center"/>
    </xf>
    <xf numFmtId="1" fontId="51" fillId="2" borderId="21" xfId="0" applyNumberFormat="1" applyFont="1" applyFill="1" applyBorder="1" applyAlignment="1">
      <alignment horizontal="center" vertical="center"/>
    </xf>
    <xf numFmtId="0" fontId="51" fillId="2" borderId="30" xfId="0" applyFont="1" applyFill="1" applyBorder="1" applyAlignment="1">
      <alignment horizontal="center" vertical="center"/>
    </xf>
    <xf numFmtId="0" fontId="51" fillId="2" borderId="31" xfId="0" applyFont="1" applyFill="1" applyBorder="1" applyAlignment="1">
      <alignment horizontal="center" vertical="center"/>
    </xf>
    <xf numFmtId="0" fontId="85" fillId="34" borderId="50" xfId="0" applyFont="1" applyFill="1" applyBorder="1" applyAlignment="1">
      <alignment horizontal="center" vertical="center"/>
    </xf>
    <xf numFmtId="0" fontId="51" fillId="2" borderId="59" xfId="0" applyFont="1" applyFill="1" applyBorder="1" applyAlignment="1">
      <alignment horizontal="center" vertical="center"/>
    </xf>
    <xf numFmtId="3" fontId="51" fillId="2" borderId="84" xfId="0" applyNumberFormat="1" applyFont="1" applyFill="1" applyBorder="1" applyAlignment="1">
      <alignment horizontal="center" vertical="center"/>
    </xf>
    <xf numFmtId="3" fontId="51" fillId="2" borderId="30" xfId="0" applyNumberFormat="1" applyFont="1" applyFill="1" applyBorder="1" applyAlignment="1">
      <alignment horizontal="center" vertical="center"/>
    </xf>
    <xf numFmtId="166" fontId="51" fillId="2" borderId="29" xfId="0" applyNumberFormat="1" applyFont="1" applyFill="1" applyBorder="1" applyAlignment="1">
      <alignment horizontal="center" vertical="center"/>
    </xf>
    <xf numFmtId="0" fontId="51" fillId="2" borderId="25" xfId="0" applyFont="1" applyFill="1" applyBorder="1" applyAlignment="1">
      <alignment horizontal="center" vertical="center"/>
    </xf>
    <xf numFmtId="1" fontId="51" fillId="2" borderId="30" xfId="0" applyNumberFormat="1" applyFont="1" applyFill="1" applyBorder="1" applyAlignment="1">
      <alignment horizontal="center" vertical="center"/>
    </xf>
    <xf numFmtId="0" fontId="60" fillId="0" borderId="0" xfId="0" applyFont="1" applyAlignment="1">
      <alignment vertical="center" wrapText="1"/>
    </xf>
    <xf numFmtId="0" fontId="51" fillId="34" borderId="9" xfId="0" applyFont="1" applyFill="1" applyBorder="1" applyAlignment="1">
      <alignment horizontal="center" vertical="center"/>
    </xf>
    <xf numFmtId="0" fontId="51" fillId="34" borderId="2" xfId="0" applyFont="1" applyFill="1" applyBorder="1" applyAlignment="1">
      <alignment horizontal="center" vertical="center"/>
    </xf>
    <xf numFmtId="0" fontId="51" fillId="34" borderId="48" xfId="0" applyFont="1" applyFill="1" applyBorder="1" applyAlignment="1">
      <alignment horizontal="center" vertical="center"/>
    </xf>
    <xf numFmtId="0" fontId="59" fillId="0" borderId="0" xfId="0" applyFont="1" applyAlignment="1">
      <alignment horizontal="center" vertical="center"/>
    </xf>
    <xf numFmtId="0" fontId="87" fillId="0" borderId="0" xfId="0" applyFont="1" applyAlignment="1">
      <alignment horizontal="center" vertical="center"/>
    </xf>
    <xf numFmtId="0" fontId="84" fillId="0" borderId="31" xfId="0" applyFont="1" applyBorder="1" applyAlignment="1">
      <alignment horizontal="center" vertical="center"/>
    </xf>
    <xf numFmtId="0" fontId="85" fillId="34" borderId="24" xfId="0" applyFont="1" applyFill="1" applyBorder="1" applyAlignment="1">
      <alignment horizontal="center" vertical="center"/>
    </xf>
    <xf numFmtId="0" fontId="85" fillId="34" borderId="70" xfId="0" applyFont="1" applyFill="1" applyBorder="1" applyAlignment="1">
      <alignment horizontal="center" vertical="center"/>
    </xf>
    <xf numFmtId="0" fontId="85" fillId="34" borderId="13" xfId="0" applyFont="1" applyFill="1" applyBorder="1" applyAlignment="1">
      <alignment horizontal="center" vertical="center"/>
    </xf>
    <xf numFmtId="0" fontId="85" fillId="34" borderId="14" xfId="0" applyFont="1" applyFill="1" applyBorder="1" applyAlignment="1">
      <alignment horizontal="center" vertical="center"/>
    </xf>
    <xf numFmtId="0" fontId="85" fillId="34" borderId="15" xfId="0" applyFont="1" applyFill="1" applyBorder="1" applyAlignment="1">
      <alignment horizontal="center" vertical="center"/>
    </xf>
    <xf numFmtId="0" fontId="85" fillId="34" borderId="41" xfId="0" applyFont="1" applyFill="1" applyBorder="1" applyAlignment="1">
      <alignment horizontal="center" vertical="center"/>
    </xf>
    <xf numFmtId="0" fontId="85" fillId="34" borderId="52" xfId="0" applyFont="1" applyFill="1" applyBorder="1" applyAlignment="1">
      <alignment horizontal="center" vertical="center"/>
    </xf>
    <xf numFmtId="0" fontId="51" fillId="34" borderId="70" xfId="0" applyFont="1" applyFill="1" applyBorder="1" applyAlignment="1">
      <alignment horizontal="center" vertical="center"/>
    </xf>
    <xf numFmtId="0" fontId="51" fillId="34" borderId="18" xfId="0" applyFont="1" applyFill="1" applyBorder="1" applyAlignment="1">
      <alignment horizontal="center" vertical="center"/>
    </xf>
    <xf numFmtId="0" fontId="51" fillId="34" borderId="1" xfId="0" applyFont="1" applyFill="1" applyBorder="1" applyAlignment="1">
      <alignment horizontal="center" vertical="center"/>
    </xf>
    <xf numFmtId="0" fontId="85" fillId="30" borderId="1" xfId="1475" applyFont="1" applyFill="1" applyBorder="1" applyAlignment="1">
      <alignment horizontal="center" vertical="center"/>
    </xf>
    <xf numFmtId="0" fontId="85" fillId="30" borderId="19" xfId="1475" applyFont="1" applyFill="1" applyBorder="1" applyAlignment="1">
      <alignment horizontal="center" vertical="center"/>
    </xf>
    <xf numFmtId="0" fontId="102" fillId="40" borderId="89" xfId="0" applyFont="1" applyFill="1" applyBorder="1" applyAlignment="1">
      <alignment horizontal="center" vertical="center"/>
    </xf>
    <xf numFmtId="0" fontId="51" fillId="34" borderId="41" xfId="0" applyFont="1" applyFill="1" applyBorder="1" applyAlignment="1">
      <alignment horizontal="center" vertical="center"/>
    </xf>
    <xf numFmtId="0" fontId="51" fillId="34" borderId="52" xfId="0" applyFont="1" applyFill="1" applyBorder="1" applyAlignment="1">
      <alignment horizontal="center" vertical="center"/>
    </xf>
    <xf numFmtId="0" fontId="51" fillId="10" borderId="3" xfId="0" applyFont="1" applyFill="1" applyBorder="1" applyAlignment="1" applyProtection="1">
      <alignment horizontal="center" vertical="center" wrapText="1"/>
      <protection locked="0"/>
    </xf>
    <xf numFmtId="3" fontId="51" fillId="33" borderId="3" xfId="0" applyNumberFormat="1" applyFont="1" applyFill="1" applyBorder="1" applyAlignment="1" applyProtection="1">
      <alignment horizontal="center" vertical="center"/>
      <protection locked="0"/>
    </xf>
    <xf numFmtId="0" fontId="51" fillId="10" borderId="3" xfId="0" applyFont="1" applyFill="1" applyBorder="1" applyAlignment="1" applyProtection="1">
      <alignment horizontal="center" vertical="center"/>
      <protection locked="0"/>
    </xf>
    <xf numFmtId="166" fontId="51" fillId="2" borderId="47" xfId="0" applyNumberFormat="1" applyFont="1" applyFill="1" applyBorder="1" applyAlignment="1">
      <alignment horizontal="center" vertical="center"/>
    </xf>
    <xf numFmtId="0" fontId="51" fillId="2" borderId="47" xfId="0" applyFont="1" applyFill="1" applyBorder="1" applyAlignment="1">
      <alignment horizontal="center" vertical="center"/>
    </xf>
    <xf numFmtId="0" fontId="105" fillId="2" borderId="3" xfId="1476" applyFont="1" applyFill="1" applyBorder="1" applyAlignment="1" applyProtection="1">
      <alignment horizontal="center" vertical="center"/>
    </xf>
    <xf numFmtId="0" fontId="51" fillId="2" borderId="44" xfId="0" applyFont="1" applyFill="1" applyBorder="1" applyAlignment="1">
      <alignment horizontal="center" vertical="center"/>
    </xf>
    <xf numFmtId="0" fontId="51" fillId="2" borderId="63"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66" xfId="0" applyFont="1" applyFill="1" applyBorder="1" applyAlignment="1">
      <alignment horizontal="center" vertical="center"/>
    </xf>
    <xf numFmtId="0" fontId="51" fillId="10" borderId="1" xfId="0" applyFont="1" applyFill="1" applyBorder="1" applyAlignment="1" applyProtection="1">
      <alignment horizontal="center" vertical="center" wrapText="1"/>
      <protection locked="0"/>
    </xf>
    <xf numFmtId="3" fontId="51" fillId="33" borderId="1" xfId="0" applyNumberFormat="1" applyFont="1" applyFill="1" applyBorder="1" applyAlignment="1" applyProtection="1">
      <alignment horizontal="center" vertical="center"/>
      <protection locked="0"/>
    </xf>
    <xf numFmtId="166" fontId="51" fillId="2" borderId="5" xfId="0" applyNumberFormat="1" applyFont="1" applyFill="1" applyBorder="1" applyAlignment="1">
      <alignment horizontal="center" vertical="center"/>
    </xf>
    <xf numFmtId="0" fontId="51" fillId="2" borderId="5" xfId="0" applyFont="1" applyFill="1" applyBorder="1" applyAlignment="1">
      <alignment horizontal="center" vertical="center"/>
    </xf>
    <xf numFmtId="0" fontId="51" fillId="2" borderId="17" xfId="0" applyFont="1" applyFill="1" applyBorder="1" applyAlignment="1">
      <alignment horizontal="center" vertical="center"/>
    </xf>
    <xf numFmtId="0" fontId="51" fillId="2" borderId="64" xfId="0" applyFont="1" applyFill="1" applyBorder="1" applyAlignment="1">
      <alignment horizontal="center" vertical="center"/>
    </xf>
    <xf numFmtId="0" fontId="51" fillId="2" borderId="16" xfId="0" applyFont="1" applyFill="1" applyBorder="1" applyAlignment="1">
      <alignment horizontal="center" vertical="center"/>
    </xf>
    <xf numFmtId="0" fontId="51" fillId="10" borderId="4" xfId="0" applyFont="1" applyFill="1" applyBorder="1" applyAlignment="1" applyProtection="1">
      <alignment horizontal="center" vertical="center" wrapText="1"/>
      <protection locked="0"/>
    </xf>
    <xf numFmtId="3" fontId="51" fillId="33" borderId="4" xfId="0" applyNumberFormat="1" applyFont="1" applyFill="1" applyBorder="1" applyAlignment="1" applyProtection="1">
      <alignment horizontal="center" vertical="center"/>
      <protection locked="0"/>
    </xf>
    <xf numFmtId="166" fontId="51" fillId="2" borderId="7" xfId="0" applyNumberFormat="1" applyFont="1" applyFill="1" applyBorder="1" applyAlignment="1">
      <alignment horizontal="center" vertical="center"/>
    </xf>
    <xf numFmtId="0" fontId="51" fillId="2" borderId="7" xfId="0" applyFont="1" applyFill="1" applyBorder="1" applyAlignment="1">
      <alignment horizontal="center" vertical="center"/>
    </xf>
    <xf numFmtId="0" fontId="51" fillId="2" borderId="46" xfId="0" applyFont="1" applyFill="1" applyBorder="1" applyAlignment="1">
      <alignment horizontal="center" vertical="center"/>
    </xf>
    <xf numFmtId="0" fontId="51" fillId="2" borderId="75" xfId="0" applyFont="1" applyFill="1" applyBorder="1" applyAlignment="1">
      <alignment horizontal="center" vertical="center"/>
    </xf>
    <xf numFmtId="0" fontId="51" fillId="2" borderId="65" xfId="0" applyFont="1" applyFill="1" applyBorder="1" applyAlignment="1">
      <alignment horizontal="center" vertical="center"/>
    </xf>
    <xf numFmtId="3" fontId="51" fillId="2" borderId="25" xfId="0" applyNumberFormat="1" applyFont="1" applyFill="1" applyBorder="1" applyAlignment="1">
      <alignment horizontal="center" vertical="center"/>
    </xf>
    <xf numFmtId="166" fontId="51" fillId="0" borderId="70" xfId="0" applyNumberFormat="1" applyFont="1" applyBorder="1" applyAlignment="1">
      <alignment horizontal="center" vertical="center"/>
    </xf>
    <xf numFmtId="0" fontId="51" fillId="2" borderId="39" xfId="0" applyFont="1" applyFill="1" applyBorder="1" applyAlignment="1">
      <alignment horizontal="center" vertical="center"/>
    </xf>
    <xf numFmtId="0" fontId="51" fillId="2" borderId="20" xfId="0" applyFont="1" applyFill="1" applyBorder="1" applyAlignment="1">
      <alignment horizontal="center" vertical="center"/>
    </xf>
    <xf numFmtId="0" fontId="51" fillId="2" borderId="29" xfId="0" applyFont="1" applyFill="1" applyBorder="1" applyAlignment="1">
      <alignment horizontal="center" vertical="center"/>
    </xf>
    <xf numFmtId="0" fontId="51" fillId="2" borderId="70" xfId="0" applyFont="1" applyFill="1" applyBorder="1" applyAlignment="1">
      <alignment horizontal="center" vertical="center"/>
    </xf>
    <xf numFmtId="0" fontId="51" fillId="0" borderId="25" xfId="0" applyFont="1" applyBorder="1" applyAlignment="1">
      <alignment horizontal="center" vertical="center"/>
    </xf>
    <xf numFmtId="0" fontId="102" fillId="0" borderId="0" xfId="0" applyFont="1" applyProtection="1">
      <protection locked="0"/>
    </xf>
    <xf numFmtId="0" fontId="102" fillId="0" borderId="0" xfId="0" applyFont="1" applyAlignment="1">
      <alignment vertical="center" wrapText="1"/>
    </xf>
    <xf numFmtId="0" fontId="84" fillId="0" borderId="0" xfId="0" applyFont="1" applyAlignment="1">
      <alignment horizontal="center"/>
    </xf>
    <xf numFmtId="0" fontId="59" fillId="2" borderId="26" xfId="0" applyFont="1" applyFill="1" applyBorder="1" applyAlignment="1">
      <alignment horizontal="center" vertical="center"/>
    </xf>
    <xf numFmtId="0" fontId="85" fillId="40" borderId="90" xfId="0" applyFont="1" applyFill="1" applyBorder="1" applyAlignment="1">
      <alignment horizontal="center" vertical="center"/>
    </xf>
    <xf numFmtId="0" fontId="85" fillId="34" borderId="39" xfId="0" applyFont="1" applyFill="1" applyBorder="1" applyAlignment="1">
      <alignment horizontal="center" vertical="center"/>
    </xf>
    <xf numFmtId="0" fontId="102" fillId="40" borderId="0" xfId="0" applyFont="1" applyFill="1" applyAlignment="1">
      <alignment horizontal="center" vertical="center"/>
    </xf>
    <xf numFmtId="0" fontId="51" fillId="40" borderId="53" xfId="0" applyFont="1" applyFill="1" applyBorder="1" applyAlignment="1">
      <alignment horizontal="center" vertical="center"/>
    </xf>
    <xf numFmtId="0" fontId="51" fillId="34" borderId="39" xfId="0" applyFont="1" applyFill="1" applyBorder="1" applyAlignment="1">
      <alignment horizontal="center" vertical="center"/>
    </xf>
    <xf numFmtId="0" fontId="51" fillId="33" borderId="43" xfId="0" applyFont="1" applyFill="1" applyBorder="1" applyAlignment="1" applyProtection="1">
      <alignment horizontal="center" vertical="center"/>
      <protection locked="0"/>
    </xf>
    <xf numFmtId="0" fontId="51" fillId="2" borderId="12" xfId="0" applyFont="1" applyFill="1" applyBorder="1" applyAlignment="1">
      <alignment horizontal="center" vertical="center"/>
    </xf>
    <xf numFmtId="3" fontId="51" fillId="33" borderId="12" xfId="0" applyNumberFormat="1" applyFont="1" applyFill="1" applyBorder="1" applyAlignment="1" applyProtection="1">
      <alignment horizontal="center" vertical="center"/>
      <protection locked="0"/>
    </xf>
    <xf numFmtId="166" fontId="51" fillId="2" borderId="12" xfId="0" applyNumberFormat="1" applyFont="1" applyFill="1" applyBorder="1" applyAlignment="1">
      <alignment horizontal="center" vertical="center"/>
    </xf>
    <xf numFmtId="0" fontId="51" fillId="2" borderId="53" xfId="0" applyFont="1" applyFill="1" applyBorder="1" applyAlignment="1">
      <alignment horizontal="center" vertical="center"/>
    </xf>
    <xf numFmtId="0" fontId="51" fillId="33" borderId="21" xfId="0" applyFont="1" applyFill="1" applyBorder="1" applyAlignment="1" applyProtection="1">
      <alignment horizontal="center" vertical="center"/>
      <protection locked="0"/>
    </xf>
    <xf numFmtId="3" fontId="51" fillId="33" borderId="21" xfId="0" applyNumberFormat="1" applyFont="1" applyFill="1" applyBorder="1" applyAlignment="1" applyProtection="1">
      <alignment horizontal="center" vertical="center"/>
      <protection locked="0"/>
    </xf>
    <xf numFmtId="0" fontId="51" fillId="33" borderId="29" xfId="0" applyFont="1" applyFill="1" applyBorder="1" applyAlignment="1" applyProtection="1">
      <alignment horizontal="center" vertical="center"/>
      <protection locked="0"/>
    </xf>
    <xf numFmtId="0" fontId="51" fillId="2" borderId="12" xfId="0" applyFont="1" applyFill="1" applyBorder="1" applyAlignment="1">
      <alignment horizontal="center" vertical="center" wrapText="1"/>
    </xf>
    <xf numFmtId="0" fontId="51" fillId="2" borderId="37" xfId="0" applyFont="1" applyFill="1" applyBorder="1" applyAlignment="1">
      <alignment horizontal="center" vertical="center"/>
    </xf>
    <xf numFmtId="3" fontId="51" fillId="0" borderId="0" xfId="0" applyNumberFormat="1" applyFont="1" applyAlignment="1" applyProtection="1">
      <alignment horizontal="center" vertical="center"/>
      <protection locked="0"/>
    </xf>
    <xf numFmtId="166" fontId="51" fillId="0" borderId="0" xfId="0" applyNumberFormat="1" applyFont="1" applyAlignment="1">
      <alignment horizontal="center" vertical="center"/>
    </xf>
    <xf numFmtId="0" fontId="0" fillId="0" borderId="0" xfId="0" applyAlignment="1">
      <alignment horizontal="right" vertical="center"/>
    </xf>
    <xf numFmtId="0" fontId="85" fillId="34" borderId="66" xfId="0" applyFont="1" applyFill="1" applyBorder="1" applyAlignment="1">
      <alignment horizontal="center" vertical="center"/>
    </xf>
    <xf numFmtId="0" fontId="85" fillId="34" borderId="55" xfId="0" applyFont="1" applyFill="1" applyBorder="1" applyAlignment="1">
      <alignment horizontal="center" vertical="center"/>
    </xf>
    <xf numFmtId="0" fontId="85" fillId="34" borderId="73" xfId="0" applyFont="1" applyFill="1" applyBorder="1" applyAlignment="1">
      <alignment horizontal="center" vertical="center"/>
    </xf>
    <xf numFmtId="0" fontId="85" fillId="40" borderId="40" xfId="0" applyFont="1" applyFill="1" applyBorder="1" applyAlignment="1">
      <alignment horizontal="center" vertical="center"/>
    </xf>
    <xf numFmtId="0" fontId="85" fillId="40" borderId="41" xfId="0" applyFont="1" applyFill="1" applyBorder="1" applyAlignment="1">
      <alignment horizontal="center" vertical="center"/>
    </xf>
    <xf numFmtId="0" fontId="85" fillId="34" borderId="64" xfId="0" applyFont="1" applyFill="1" applyBorder="1" applyAlignment="1">
      <alignment horizontal="center" vertical="center"/>
    </xf>
    <xf numFmtId="0" fontId="51" fillId="34" borderId="17" xfId="0" applyFont="1" applyFill="1" applyBorder="1" applyAlignment="1">
      <alignment horizontal="center" vertical="center"/>
    </xf>
    <xf numFmtId="0" fontId="51" fillId="40" borderId="91" xfId="0" applyFont="1" applyFill="1" applyBorder="1" applyAlignment="1">
      <alignment horizontal="center" vertical="center"/>
    </xf>
    <xf numFmtId="0" fontId="51" fillId="53" borderId="64" xfId="0" applyFont="1" applyFill="1" applyBorder="1" applyAlignment="1" applyProtection="1">
      <alignment horizontal="center" vertical="center"/>
      <protection locked="0"/>
    </xf>
    <xf numFmtId="0" fontId="51" fillId="10" borderId="17" xfId="0" applyFont="1" applyFill="1" applyBorder="1" applyAlignment="1" applyProtection="1">
      <alignment horizontal="center" vertical="center"/>
      <protection locked="0"/>
    </xf>
    <xf numFmtId="0" fontId="51" fillId="7" borderId="11" xfId="0" applyFont="1" applyFill="1" applyBorder="1" applyAlignment="1">
      <alignment horizontal="center" vertical="center"/>
    </xf>
    <xf numFmtId="0" fontId="51" fillId="7" borderId="6" xfId="0" applyFont="1" applyFill="1" applyBorder="1" applyAlignment="1">
      <alignment horizontal="center" vertical="center"/>
    </xf>
    <xf numFmtId="0" fontId="51" fillId="53" borderId="65" xfId="0" applyFont="1" applyFill="1" applyBorder="1" applyAlignment="1" applyProtection="1">
      <alignment horizontal="center" vertical="center"/>
      <protection locked="0"/>
    </xf>
    <xf numFmtId="0" fontId="51" fillId="10" borderId="78" xfId="0" applyFont="1" applyFill="1" applyBorder="1" applyAlignment="1" applyProtection="1">
      <alignment horizontal="center" vertical="center"/>
      <protection locked="0"/>
    </xf>
    <xf numFmtId="0" fontId="51" fillId="33" borderId="23" xfId="0" applyFont="1" applyFill="1" applyBorder="1" applyAlignment="1" applyProtection="1">
      <alignment horizontal="center" vertical="center"/>
      <protection locked="0"/>
    </xf>
    <xf numFmtId="0" fontId="51" fillId="7" borderId="8" xfId="0" applyFont="1" applyFill="1" applyBorder="1" applyAlignment="1">
      <alignment horizontal="center" vertical="center"/>
    </xf>
    <xf numFmtId="0" fontId="84" fillId="0" borderId="0" xfId="0" applyFont="1" applyAlignment="1" applyProtection="1">
      <alignment vertical="top" wrapText="1"/>
      <protection locked="0"/>
    </xf>
    <xf numFmtId="0" fontId="85" fillId="0" borderId="0" xfId="0" applyFont="1" applyAlignment="1" applyProtection="1">
      <alignment horizontal="center" vertical="center" wrapText="1"/>
      <protection locked="0"/>
    </xf>
    <xf numFmtId="12" fontId="51" fillId="50" borderId="69" xfId="0" applyNumberFormat="1" applyFont="1" applyFill="1" applyBorder="1" applyAlignment="1" applyProtection="1">
      <alignment horizontal="center" vertical="center" wrapText="1"/>
      <protection locked="0"/>
    </xf>
    <xf numFmtId="12" fontId="51" fillId="52" borderId="62" xfId="0" applyNumberFormat="1" applyFont="1" applyFill="1" applyBorder="1" applyAlignment="1" applyProtection="1">
      <alignment horizontal="center" vertical="center" wrapText="1"/>
      <protection locked="0"/>
    </xf>
    <xf numFmtId="12" fontId="51" fillId="50" borderId="7" xfId="0" applyNumberFormat="1" applyFont="1" applyFill="1" applyBorder="1" applyAlignment="1" applyProtection="1">
      <alignment horizontal="center" vertical="center" wrapText="1"/>
      <protection locked="0"/>
    </xf>
    <xf numFmtId="12" fontId="51" fillId="52" borderId="76" xfId="0" applyNumberFormat="1" applyFont="1" applyFill="1" applyBorder="1" applyAlignment="1" applyProtection="1">
      <alignment horizontal="center" vertical="center" wrapText="1"/>
      <protection locked="0"/>
    </xf>
    <xf numFmtId="0" fontId="61" fillId="37" borderId="33" xfId="0" applyFont="1" applyFill="1" applyBorder="1" applyAlignment="1" applyProtection="1">
      <alignment vertical="center"/>
      <protection locked="0"/>
    </xf>
    <xf numFmtId="0" fontId="61" fillId="37" borderId="0" xfId="0" applyFont="1" applyFill="1" applyAlignment="1" applyProtection="1">
      <alignment vertical="center"/>
      <protection locked="0"/>
    </xf>
    <xf numFmtId="0" fontId="61" fillId="37" borderId="37" xfId="0" applyFont="1" applyFill="1" applyBorder="1" applyAlignment="1" applyProtection="1">
      <alignment vertical="center"/>
      <protection locked="0"/>
    </xf>
    <xf numFmtId="12" fontId="51" fillId="50" borderId="22" xfId="0" applyNumberFormat="1" applyFont="1" applyFill="1" applyBorder="1" applyAlignment="1" applyProtection="1">
      <alignment horizontal="center" vertical="center" wrapText="1"/>
      <protection locked="0"/>
    </xf>
    <xf numFmtId="12" fontId="51" fillId="52" borderId="29" xfId="0" applyNumberFormat="1" applyFont="1" applyFill="1" applyBorder="1" applyAlignment="1" applyProtection="1">
      <alignment horizontal="center" vertical="center" wrapText="1"/>
      <protection locked="0"/>
    </xf>
    <xf numFmtId="0" fontId="51" fillId="52" borderId="3" xfId="1473" applyNumberFormat="1" applyFont="1" applyFill="1" applyBorder="1" applyAlignment="1" applyProtection="1">
      <alignment horizontal="center" vertical="center" wrapText="1"/>
      <protection locked="0"/>
    </xf>
    <xf numFmtId="0" fontId="51" fillId="43" borderId="47" xfId="0" applyFont="1" applyFill="1" applyBorder="1" applyAlignment="1" applyProtection="1">
      <alignment horizontal="center" vertical="center" wrapText="1"/>
      <protection locked="0"/>
    </xf>
    <xf numFmtId="13" fontId="51" fillId="52" borderId="1" xfId="0" applyNumberFormat="1" applyFont="1" applyFill="1" applyBorder="1" applyAlignment="1" applyProtection="1">
      <alignment horizontal="center" vertical="center" wrapText="1"/>
      <protection locked="0"/>
    </xf>
    <xf numFmtId="0" fontId="51" fillId="43" borderId="5" xfId="0" applyFont="1" applyFill="1" applyBorder="1" applyAlignment="1" applyProtection="1">
      <alignment horizontal="center" vertical="center" wrapText="1"/>
      <protection locked="0"/>
    </xf>
    <xf numFmtId="13" fontId="51" fillId="52" borderId="4" xfId="0" applyNumberFormat="1" applyFont="1" applyFill="1" applyBorder="1" applyAlignment="1" applyProtection="1">
      <alignment horizontal="center" vertical="center" wrapText="1"/>
      <protection locked="0"/>
    </xf>
    <xf numFmtId="0" fontId="3" fillId="0" borderId="0" xfId="0" applyFont="1" applyAlignment="1">
      <alignment wrapText="1"/>
    </xf>
    <xf numFmtId="0" fontId="80" fillId="43" borderId="33" xfId="0" applyFont="1" applyFill="1" applyBorder="1" applyAlignment="1">
      <alignment horizontal="center" vertical="center"/>
    </xf>
    <xf numFmtId="0" fontId="80" fillId="43" borderId="0" xfId="0" applyFont="1" applyFill="1" applyAlignment="1">
      <alignment horizontal="center" vertical="center"/>
    </xf>
    <xf numFmtId="0" fontId="80" fillId="43" borderId="37" xfId="0" applyFont="1" applyFill="1" applyBorder="1" applyAlignment="1">
      <alignment horizontal="center" vertical="center"/>
    </xf>
    <xf numFmtId="0" fontId="80" fillId="43" borderId="34" xfId="0" applyFont="1" applyFill="1" applyBorder="1"/>
    <xf numFmtId="0" fontId="46" fillId="43" borderId="0" xfId="0" applyFont="1" applyFill="1" applyAlignment="1">
      <alignment horizontal="right"/>
    </xf>
    <xf numFmtId="0" fontId="46" fillId="43" borderId="0" xfId="0" applyFont="1" applyFill="1" applyAlignment="1">
      <alignment horizontal="center" vertical="center"/>
    </xf>
    <xf numFmtId="0" fontId="46" fillId="43" borderId="0" xfId="0" applyFont="1" applyFill="1" applyAlignment="1">
      <alignment horizontal="center" vertical="center" wrapText="1"/>
    </xf>
    <xf numFmtId="0" fontId="46" fillId="43" borderId="92" xfId="0" applyFont="1" applyFill="1" applyBorder="1" applyAlignment="1">
      <alignment horizontal="right"/>
    </xf>
    <xf numFmtId="0" fontId="46" fillId="43" borderId="92" xfId="0" applyFont="1" applyFill="1" applyBorder="1" applyAlignment="1">
      <alignment horizontal="center" vertical="center"/>
    </xf>
    <xf numFmtId="0" fontId="46" fillId="43" borderId="92" xfId="0" applyFont="1" applyFill="1" applyBorder="1" applyAlignment="1">
      <alignment horizontal="center" vertical="center" wrapText="1"/>
    </xf>
    <xf numFmtId="0" fontId="46" fillId="0" borderId="0" xfId="0" applyFont="1" applyAlignment="1">
      <alignment horizontal="center" vertical="center" wrapText="1"/>
    </xf>
    <xf numFmtId="0" fontId="0" fillId="2" borderId="33" xfId="0" applyFill="1" applyBorder="1" applyAlignment="1">
      <alignment horizontal="center" vertical="center"/>
    </xf>
    <xf numFmtId="0" fontId="0" fillId="2" borderId="0" xfId="0" applyFill="1" applyAlignment="1">
      <alignment horizontal="center" vertical="center"/>
    </xf>
    <xf numFmtId="0" fontId="0" fillId="2" borderId="37" xfId="0" applyFill="1" applyBorder="1" applyAlignment="1">
      <alignment horizontal="center" vertical="center"/>
    </xf>
    <xf numFmtId="0" fontId="80" fillId="43" borderId="33" xfId="0" applyFont="1" applyFill="1" applyBorder="1" applyAlignment="1">
      <alignment horizontal="center"/>
    </xf>
    <xf numFmtId="0" fontId="80" fillId="37" borderId="0" xfId="0" applyFont="1" applyFill="1" applyAlignment="1">
      <alignment horizontal="center"/>
    </xf>
    <xf numFmtId="0" fontId="80" fillId="37" borderId="37" xfId="0" applyFont="1" applyFill="1" applyBorder="1" applyAlignment="1">
      <alignment horizontal="center"/>
    </xf>
    <xf numFmtId="0" fontId="46" fillId="37" borderId="0" xfId="0" applyFont="1" applyFill="1" applyAlignment="1">
      <alignment horizontal="right"/>
    </xf>
    <xf numFmtId="0" fontId="80" fillId="2" borderId="0" xfId="0" applyFont="1" applyFill="1"/>
    <xf numFmtId="0" fontId="80" fillId="2" borderId="0" xfId="0" applyFont="1" applyFill="1" applyAlignment="1">
      <alignment horizontal="center" vertical="center"/>
    </xf>
    <xf numFmtId="0" fontId="80" fillId="0" borderId="0" xfId="0" applyFont="1" applyAlignment="1">
      <alignment horizontal="center" vertical="center"/>
    </xf>
    <xf numFmtId="0" fontId="0" fillId="37" borderId="33" xfId="0" applyFill="1" applyBorder="1" applyAlignment="1">
      <alignment horizontal="center"/>
    </xf>
    <xf numFmtId="0" fontId="0" fillId="2" borderId="0" xfId="0" applyFill="1" applyAlignment="1">
      <alignment horizontal="center"/>
    </xf>
    <xf numFmtId="0" fontId="0" fillId="2" borderId="37" xfId="0" applyFill="1" applyBorder="1" applyAlignment="1">
      <alignment horizontal="center"/>
    </xf>
    <xf numFmtId="0" fontId="0" fillId="0" borderId="30" xfId="0" applyBorder="1"/>
    <xf numFmtId="0" fontId="0" fillId="0" borderId="31" xfId="0" applyBorder="1"/>
    <xf numFmtId="0" fontId="0" fillId="0" borderId="32" xfId="0" applyBorder="1"/>
    <xf numFmtId="0" fontId="0" fillId="0" borderId="0" xfId="0" applyAlignment="1">
      <alignment horizontal="center"/>
    </xf>
    <xf numFmtId="2" fontId="80" fillId="2" borderId="0" xfId="0" applyNumberFormat="1" applyFont="1" applyFill="1" applyAlignment="1">
      <alignment horizontal="center" vertical="center"/>
    </xf>
    <xf numFmtId="2" fontId="80" fillId="0" borderId="0" xfId="0" applyNumberFormat="1" applyFont="1" applyAlignment="1">
      <alignment horizontal="center" vertical="center"/>
    </xf>
    <xf numFmtId="0" fontId="46" fillId="0" borderId="0" xfId="0" applyFont="1" applyAlignment="1">
      <alignment horizontal="right"/>
    </xf>
    <xf numFmtId="0" fontId="0" fillId="37" borderId="30" xfId="0"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80" fillId="37" borderId="0" xfId="0" applyFont="1" applyFill="1"/>
    <xf numFmtId="49" fontId="80" fillId="2" borderId="0" xfId="0" applyNumberFormat="1" applyFont="1" applyFill="1" applyAlignment="1">
      <alignment horizontal="center" vertical="center"/>
    </xf>
    <xf numFmtId="0" fontId="80" fillId="43" borderId="33" xfId="0" applyFont="1" applyFill="1" applyBorder="1" applyAlignment="1">
      <alignment horizontal="center" vertical="center" wrapText="1"/>
    </xf>
    <xf numFmtId="0" fontId="80" fillId="43" borderId="37" xfId="0" applyFont="1" applyFill="1" applyBorder="1" applyAlignment="1">
      <alignment horizontal="center" vertical="center" wrapText="1"/>
    </xf>
    <xf numFmtId="0" fontId="0" fillId="2" borderId="37" xfId="0" applyFill="1" applyBorder="1" applyAlignment="1">
      <alignment horizontal="center" vertical="center" wrapText="1"/>
    </xf>
    <xf numFmtId="0" fontId="107" fillId="0" borderId="0" xfId="1477" applyFill="1" applyBorder="1"/>
    <xf numFmtId="0" fontId="80" fillId="37" borderId="0" xfId="0" applyFont="1" applyFill="1" applyAlignment="1">
      <alignment wrapText="1"/>
    </xf>
    <xf numFmtId="0" fontId="42" fillId="2" borderId="0" xfId="0" applyFont="1" applyFill="1"/>
    <xf numFmtId="0" fontId="46" fillId="2" borderId="0" xfId="0" applyFont="1" applyFill="1"/>
    <xf numFmtId="2" fontId="80" fillId="2" borderId="0" xfId="0" applyNumberFormat="1" applyFont="1" applyFill="1" applyAlignment="1">
      <alignment horizontal="center"/>
    </xf>
    <xf numFmtId="0" fontId="3" fillId="0" borderId="0" xfId="0" applyFont="1" applyAlignment="1">
      <alignment horizontal="center"/>
    </xf>
    <xf numFmtId="0" fontId="80" fillId="0" borderId="0" xfId="0" applyFont="1" applyAlignment="1">
      <alignment wrapText="1"/>
    </xf>
    <xf numFmtId="167" fontId="80" fillId="2" borderId="0" xfId="0" applyNumberFormat="1" applyFont="1" applyFill="1" applyAlignment="1">
      <alignment horizontal="center" vertical="center"/>
    </xf>
    <xf numFmtId="0" fontId="0" fillId="2" borderId="30" xfId="0" applyFill="1" applyBorder="1" applyAlignment="1">
      <alignment horizontal="left" vertical="center" wrapText="1"/>
    </xf>
    <xf numFmtId="0" fontId="0" fillId="2" borderId="32" xfId="0" applyFill="1" applyBorder="1" applyAlignment="1">
      <alignment horizontal="center" vertical="center" wrapText="1"/>
    </xf>
    <xf numFmtId="0" fontId="80" fillId="2" borderId="0" xfId="0" applyFont="1" applyFill="1" applyAlignment="1">
      <alignment wrapText="1"/>
    </xf>
    <xf numFmtId="0" fontId="80" fillId="2" borderId="0" xfId="0" applyFont="1" applyFill="1" applyAlignment="1">
      <alignment vertical="center"/>
    </xf>
    <xf numFmtId="0" fontId="80" fillId="54" borderId="0" xfId="0" applyFont="1" applyFill="1" applyAlignment="1">
      <alignment horizontal="center" vertical="center"/>
    </xf>
    <xf numFmtId="0" fontId="3" fillId="2" borderId="0" xfId="0" applyFont="1" applyFill="1" applyAlignment="1">
      <alignment vertical="top" wrapText="1"/>
    </xf>
    <xf numFmtId="0" fontId="3" fillId="0" borderId="33" xfId="0" applyFont="1" applyBorder="1"/>
    <xf numFmtId="0" fontId="8" fillId="0" borderId="0" xfId="1474" applyBorder="1"/>
    <xf numFmtId="0" fontId="3" fillId="56" borderId="26" xfId="0" applyFont="1" applyFill="1" applyBorder="1" applyAlignment="1">
      <alignment horizontal="center" vertical="center"/>
    </xf>
    <xf numFmtId="0" fontId="3" fillId="20" borderId="31" xfId="0" applyFont="1" applyFill="1" applyBorder="1" applyAlignment="1">
      <alignment horizontal="center"/>
    </xf>
    <xf numFmtId="0" fontId="3" fillId="56" borderId="67" xfId="0" applyFont="1" applyFill="1" applyBorder="1" applyAlignment="1">
      <alignment horizontal="center" vertical="center"/>
    </xf>
    <xf numFmtId="0" fontId="3" fillId="20" borderId="18" xfId="0" applyFont="1" applyFill="1" applyBorder="1" applyAlignment="1">
      <alignment horizontal="center" vertical="center"/>
    </xf>
    <xf numFmtId="0" fontId="0" fillId="56" borderId="19" xfId="0" applyFill="1" applyBorder="1" applyAlignment="1" applyProtection="1">
      <alignment horizontal="center" vertical="center"/>
      <protection locked="0"/>
    </xf>
    <xf numFmtId="0" fontId="3" fillId="20" borderId="20" xfId="0" applyFont="1" applyFill="1" applyBorder="1" applyAlignment="1">
      <alignment horizontal="center" vertical="center"/>
    </xf>
    <xf numFmtId="0" fontId="0" fillId="21" borderId="29" xfId="0" applyFill="1" applyBorder="1" applyAlignment="1">
      <alignment horizontal="center" vertical="center"/>
    </xf>
    <xf numFmtId="0" fontId="3" fillId="56" borderId="1" xfId="0" applyFont="1" applyFill="1" applyBorder="1" applyAlignment="1" applyProtection="1">
      <alignment horizontal="center" vertical="center"/>
      <protection locked="0"/>
    </xf>
    <xf numFmtId="0" fontId="3" fillId="0" borderId="37" xfId="0" applyFont="1" applyBorder="1" applyAlignment="1">
      <alignment horizontal="center"/>
    </xf>
    <xf numFmtId="0" fontId="3" fillId="0" borderId="37" xfId="0" applyFont="1" applyBorder="1"/>
    <xf numFmtId="0" fontId="3" fillId="0" borderId="0" xfId="0" applyFont="1" applyBorder="1" applyAlignment="1">
      <alignment horizontal="center" vertical="center"/>
    </xf>
    <xf numFmtId="0" fontId="17" fillId="0" borderId="0" xfId="0" applyFont="1" applyBorder="1" applyAlignment="1">
      <alignment horizontal="center" vertical="center"/>
    </xf>
    <xf numFmtId="0" fontId="58" fillId="0" borderId="0" xfId="0" applyFont="1"/>
    <xf numFmtId="0" fontId="3" fillId="0" borderId="0" xfId="0" applyFont="1" applyFill="1" applyBorder="1"/>
    <xf numFmtId="0" fontId="3" fillId="0" borderId="0" xfId="0" applyFont="1" applyFill="1" applyBorder="1" applyAlignment="1">
      <alignment horizontal="left"/>
    </xf>
    <xf numFmtId="0" fontId="17" fillId="0" borderId="0" xfId="0" applyFont="1" applyBorder="1" applyAlignment="1">
      <alignment horizontal="left" vertical="center"/>
    </xf>
    <xf numFmtId="0" fontId="19" fillId="0" borderId="0" xfId="0" applyFont="1" applyBorder="1" applyAlignment="1">
      <alignment horizontal="left" vertical="center"/>
    </xf>
    <xf numFmtId="0" fontId="0" fillId="2" borderId="40" xfId="0" applyFont="1" applyFill="1" applyBorder="1" applyAlignment="1">
      <alignment horizontal="left" vertical="top" wrapText="1"/>
    </xf>
    <xf numFmtId="0" fontId="37" fillId="20" borderId="13" xfId="0" applyFont="1" applyFill="1" applyBorder="1" applyAlignment="1" applyProtection="1">
      <alignment horizontal="center" vertical="center"/>
    </xf>
    <xf numFmtId="0" fontId="37" fillId="20" borderId="14" xfId="0" applyFont="1" applyFill="1" applyBorder="1" applyAlignment="1" applyProtection="1">
      <alignment horizontal="center" vertical="center"/>
    </xf>
    <xf numFmtId="0" fontId="22" fillId="23" borderId="18" xfId="0" applyFont="1" applyFill="1" applyBorder="1" applyAlignment="1" applyProtection="1">
      <alignment horizontal="center" vertical="center"/>
      <protection locked="0"/>
    </xf>
    <xf numFmtId="0" fontId="22" fillId="23" borderId="1" xfId="0" applyFont="1" applyFill="1" applyBorder="1" applyAlignment="1" applyProtection="1">
      <alignment horizontal="center" vertical="center"/>
      <protection locked="0"/>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37" fillId="20" borderId="18" xfId="0" applyFont="1" applyFill="1" applyBorder="1" applyAlignment="1" applyProtection="1">
      <alignment horizontal="center" vertical="center"/>
    </xf>
    <xf numFmtId="0" fontId="37" fillId="20" borderId="1" xfId="0" applyFont="1" applyFill="1" applyBorder="1" applyAlignment="1" applyProtection="1">
      <alignment horizontal="center" vertical="center"/>
    </xf>
    <xf numFmtId="0" fontId="0" fillId="2" borderId="33"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7"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3" fillId="2" borderId="33" xfId="0" applyFont="1" applyFill="1" applyBorder="1" applyAlignment="1">
      <alignment horizontal="left"/>
    </xf>
    <xf numFmtId="0" fontId="3" fillId="2" borderId="0" xfId="0" applyFont="1" applyFill="1" applyBorder="1" applyAlignment="1">
      <alignment horizontal="left"/>
    </xf>
    <xf numFmtId="0" fontId="3" fillId="2" borderId="10" xfId="0" applyFont="1" applyFill="1" applyBorder="1" applyAlignment="1">
      <alignment horizontal="left"/>
    </xf>
    <xf numFmtId="0" fontId="0" fillId="2" borderId="33" xfId="0" applyFill="1" applyBorder="1" applyAlignment="1">
      <alignment horizontal="left" vertical="center" wrapText="1"/>
    </xf>
    <xf numFmtId="0" fontId="0" fillId="2" borderId="0" xfId="0" applyFill="1" applyBorder="1" applyAlignment="1">
      <alignment horizontal="left" vertical="center" wrapText="1"/>
    </xf>
    <xf numFmtId="0" fontId="0" fillId="2" borderId="10" xfId="0" applyFill="1" applyBorder="1" applyAlignment="1">
      <alignment horizontal="left" vertical="center" wrapText="1"/>
    </xf>
    <xf numFmtId="0" fontId="0" fillId="2" borderId="33" xfId="0" applyFill="1" applyBorder="1" applyAlignment="1">
      <alignment horizontal="left" vertical="center"/>
    </xf>
    <xf numFmtId="0" fontId="0" fillId="2" borderId="0"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top" wrapText="1"/>
    </xf>
    <xf numFmtId="0" fontId="0" fillId="2" borderId="0" xfId="0" applyFill="1" applyBorder="1" applyAlignment="1">
      <alignment horizontal="left" vertical="top" wrapText="1"/>
    </xf>
    <xf numFmtId="0" fontId="0" fillId="2" borderId="10" xfId="0" applyFill="1" applyBorder="1" applyAlignment="1">
      <alignment horizontal="left" vertical="top" wrapText="1"/>
    </xf>
    <xf numFmtId="0" fontId="3" fillId="23" borderId="2" xfId="0" applyFont="1" applyFill="1" applyBorder="1" applyAlignment="1">
      <alignment horizontal="center"/>
    </xf>
    <xf numFmtId="0" fontId="3" fillId="23" borderId="1" xfId="0" applyFont="1" applyFill="1" applyBorder="1" applyAlignment="1">
      <alignment horizontal="center"/>
    </xf>
    <xf numFmtId="0" fontId="3" fillId="23" borderId="19" xfId="0" applyFont="1" applyFill="1" applyBorder="1" applyAlignment="1">
      <alignment horizontal="center"/>
    </xf>
    <xf numFmtId="0" fontId="3" fillId="23" borderId="9" xfId="0" applyFont="1" applyFill="1" applyBorder="1" applyAlignment="1">
      <alignment horizontal="center"/>
    </xf>
    <xf numFmtId="0" fontId="3" fillId="23" borderId="3" xfId="0" applyFont="1" applyFill="1" applyBorder="1" applyAlignment="1">
      <alignment horizontal="center"/>
    </xf>
    <xf numFmtId="0" fontId="3" fillId="23" borderId="28" xfId="0" applyFont="1" applyFill="1" applyBorder="1" applyAlignment="1">
      <alignment horizontal="center"/>
    </xf>
    <xf numFmtId="0" fontId="3" fillId="23" borderId="23" xfId="0" applyFont="1" applyFill="1" applyBorder="1" applyAlignment="1">
      <alignment horizontal="center"/>
    </xf>
    <xf numFmtId="0" fontId="3" fillId="23" borderId="21" xfId="0" applyFont="1" applyFill="1" applyBorder="1" applyAlignment="1">
      <alignment horizontal="center"/>
    </xf>
    <xf numFmtId="0" fontId="3" fillId="23" borderId="29" xfId="0" applyFont="1" applyFill="1" applyBorder="1" applyAlignment="1">
      <alignment horizontal="center"/>
    </xf>
    <xf numFmtId="0" fontId="27" fillId="2" borderId="30" xfId="0" applyFont="1" applyFill="1" applyBorder="1" applyAlignment="1">
      <alignment horizontal="left" vertical="top" wrapText="1"/>
    </xf>
    <xf numFmtId="0" fontId="27" fillId="2" borderId="31" xfId="0" applyFont="1" applyFill="1" applyBorder="1" applyAlignment="1">
      <alignment horizontal="left" vertical="top"/>
    </xf>
    <xf numFmtId="0" fontId="27" fillId="2" borderId="32" xfId="0" applyFont="1" applyFill="1" applyBorder="1" applyAlignment="1">
      <alignment horizontal="left" vertical="top"/>
    </xf>
    <xf numFmtId="0" fontId="3" fillId="20" borderId="18" xfId="0" applyFont="1" applyFill="1" applyBorder="1" applyAlignment="1">
      <alignment horizontal="center"/>
    </xf>
    <xf numFmtId="0" fontId="3" fillId="20" borderId="1" xfId="0" applyFont="1" applyFill="1" applyBorder="1" applyAlignment="1">
      <alignment horizontal="center"/>
    </xf>
    <xf numFmtId="0" fontId="3" fillId="20" borderId="19" xfId="0" applyFont="1" applyFill="1" applyBorder="1" applyAlignment="1">
      <alignment horizontal="center"/>
    </xf>
    <xf numFmtId="0" fontId="3" fillId="20" borderId="20" xfId="0" applyFont="1" applyFill="1" applyBorder="1" applyAlignment="1">
      <alignment horizontal="center"/>
    </xf>
    <xf numFmtId="0" fontId="3" fillId="20" borderId="21" xfId="0" applyFont="1" applyFill="1" applyBorder="1" applyAlignment="1">
      <alignment horizontal="center"/>
    </xf>
    <xf numFmtId="0" fontId="3" fillId="20" borderId="29" xfId="0" applyFont="1" applyFill="1" applyBorder="1" applyAlignment="1">
      <alignment horizontal="center"/>
    </xf>
    <xf numFmtId="0" fontId="17" fillId="20" borderId="24" xfId="0" applyFont="1" applyFill="1" applyBorder="1" applyAlignment="1">
      <alignment horizontal="center"/>
    </xf>
    <xf numFmtId="0" fontId="17" fillId="20" borderId="25" xfId="0" applyFont="1" applyFill="1" applyBorder="1" applyAlignment="1">
      <alignment horizontal="center"/>
    </xf>
    <xf numFmtId="0" fontId="17" fillId="20" borderId="26" xfId="0" applyFont="1" applyFill="1" applyBorder="1" applyAlignment="1">
      <alignment horizontal="center"/>
    </xf>
    <xf numFmtId="0" fontId="3" fillId="20" borderId="13" xfId="0" applyFont="1" applyFill="1" applyBorder="1" applyAlignment="1">
      <alignment horizontal="center"/>
    </xf>
    <xf numFmtId="0" fontId="3" fillId="20" borderId="14" xfId="0" applyFont="1" applyFill="1" applyBorder="1" applyAlignment="1">
      <alignment horizontal="center"/>
    </xf>
    <xf numFmtId="0" fontId="3" fillId="20" borderId="15" xfId="0" applyFont="1" applyFill="1" applyBorder="1" applyAlignment="1">
      <alignment horizontal="center"/>
    </xf>
    <xf numFmtId="0" fontId="3" fillId="20" borderId="16" xfId="0" applyFont="1" applyFill="1" applyBorder="1" applyAlignment="1">
      <alignment horizontal="center"/>
    </xf>
    <xf numFmtId="0" fontId="3" fillId="20" borderId="6" xfId="0" applyFont="1" applyFill="1" applyBorder="1" applyAlignment="1">
      <alignment horizontal="center"/>
    </xf>
    <xf numFmtId="0" fontId="3" fillId="20" borderId="17" xfId="0" applyFont="1" applyFill="1" applyBorder="1" applyAlignment="1">
      <alignment horizontal="center"/>
    </xf>
    <xf numFmtId="0" fontId="21" fillId="20" borderId="1" xfId="0" applyFont="1" applyFill="1" applyBorder="1" applyAlignment="1" applyProtection="1">
      <alignment horizontal="center" vertical="center" wrapText="1"/>
    </xf>
    <xf numFmtId="0" fontId="22" fillId="23" borderId="22" xfId="0" applyFont="1" applyFill="1" applyBorder="1" applyAlignment="1" applyProtection="1">
      <alignment horizontal="center" vertical="center"/>
      <protection locked="0"/>
    </xf>
    <xf numFmtId="0" fontId="22" fillId="23" borderId="23" xfId="0" applyFont="1" applyFill="1" applyBorder="1" applyAlignment="1" applyProtection="1">
      <alignment horizontal="center" vertical="center"/>
      <protection locked="0"/>
    </xf>
    <xf numFmtId="0" fontId="24" fillId="23" borderId="18" xfId="0" applyFont="1" applyFill="1" applyBorder="1" applyAlignment="1" applyProtection="1">
      <alignment horizontal="center" vertical="center"/>
      <protection locked="0"/>
    </xf>
    <xf numFmtId="0" fontId="24" fillId="23" borderId="1" xfId="0" applyFont="1" applyFill="1" applyBorder="1" applyAlignment="1" applyProtection="1">
      <alignment horizontal="center" vertical="center"/>
      <protection locked="0"/>
    </xf>
    <xf numFmtId="0" fontId="22" fillId="23" borderId="5" xfId="0" applyFont="1" applyFill="1" applyBorder="1" applyAlignment="1" applyProtection="1">
      <alignment horizontal="center" vertical="center"/>
      <protection locked="0"/>
    </xf>
    <xf numFmtId="0" fontId="22" fillId="23" borderId="2" xfId="0" applyFont="1" applyFill="1" applyBorder="1" applyAlignment="1" applyProtection="1">
      <alignment horizontal="center" vertical="center"/>
      <protection locked="0"/>
    </xf>
    <xf numFmtId="0" fontId="22" fillId="23" borderId="21" xfId="0" applyFont="1" applyFill="1" applyBorder="1" applyAlignment="1" applyProtection="1">
      <alignment horizontal="center" vertical="center"/>
      <protection locked="0"/>
    </xf>
    <xf numFmtId="0" fontId="37" fillId="20" borderId="18" xfId="0" applyFont="1" applyFill="1" applyBorder="1" applyAlignment="1" applyProtection="1">
      <alignment horizontal="center" vertical="center" wrapText="1"/>
    </xf>
    <xf numFmtId="0" fontId="37" fillId="20" borderId="1" xfId="0" applyFont="1" applyFill="1" applyBorder="1" applyAlignment="1" applyProtection="1">
      <alignment horizontal="center" vertical="center" wrapText="1"/>
    </xf>
    <xf numFmtId="0" fontId="0" fillId="2" borderId="6"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0" fillId="2" borderId="22" xfId="0" applyFont="1" applyFill="1" applyBorder="1" applyAlignment="1">
      <alignment horizontal="right" vertical="center" wrapText="1"/>
    </xf>
    <xf numFmtId="0" fontId="0" fillId="2" borderId="51" xfId="0" applyFont="1" applyFill="1" applyBorder="1" applyAlignment="1">
      <alignment horizontal="right" vertical="center" wrapText="1"/>
    </xf>
    <xf numFmtId="0" fontId="0" fillId="2" borderId="23" xfId="0" applyFont="1" applyFill="1" applyBorder="1" applyAlignment="1">
      <alignment horizontal="right" vertical="center" wrapText="1"/>
    </xf>
    <xf numFmtId="0" fontId="3" fillId="11" borderId="42" xfId="0" applyFont="1" applyFill="1" applyBorder="1" applyAlignment="1">
      <alignment horizontal="center" vertical="center"/>
    </xf>
    <xf numFmtId="0" fontId="3" fillId="11" borderId="43"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50" xfId="0" applyFont="1" applyFill="1" applyBorder="1" applyAlignment="1">
      <alignment horizontal="center" vertical="center"/>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5" xfId="0" applyFont="1" applyFill="1" applyBorder="1" applyAlignment="1">
      <alignment horizontal="right" vertical="center" wrapText="1"/>
    </xf>
    <xf numFmtId="0" fontId="0"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6" xfId="0" applyFont="1" applyFill="1" applyBorder="1" applyAlignment="1">
      <alignment horizontal="left" vertical="top" wrapText="1"/>
    </xf>
    <xf numFmtId="0" fontId="0" fillId="2" borderId="2" xfId="0" applyFont="1" applyFill="1" applyBorder="1" applyAlignment="1">
      <alignment horizontal="left" vertical="top" wrapText="1"/>
    </xf>
    <xf numFmtId="0" fontId="20" fillId="2" borderId="35" xfId="0" applyFont="1" applyFill="1" applyBorder="1" applyAlignment="1">
      <alignment horizontal="center" vertical="center"/>
    </xf>
    <xf numFmtId="0" fontId="30" fillId="2" borderId="0" xfId="0" applyFont="1" applyFill="1" applyBorder="1" applyAlignment="1">
      <alignment horizontal="left" vertical="top" wrapText="1"/>
    </xf>
    <xf numFmtId="0" fontId="30" fillId="2" borderId="37" xfId="0" applyFont="1" applyFill="1" applyBorder="1" applyAlignment="1">
      <alignment horizontal="left" vertical="top" wrapText="1"/>
    </xf>
    <xf numFmtId="0" fontId="3" fillId="12" borderId="14" xfId="0" applyFont="1" applyFill="1" applyBorder="1" applyAlignment="1">
      <alignment horizontal="left" vertical="center" wrapText="1"/>
    </xf>
    <xf numFmtId="0" fontId="3" fillId="2" borderId="33" xfId="0" applyFont="1" applyFill="1" applyBorder="1" applyAlignment="1">
      <alignment horizontal="left" vertical="top" wrapText="1"/>
    </xf>
    <xf numFmtId="0" fontId="3" fillId="2" borderId="0" xfId="0" applyFont="1" applyFill="1" applyAlignment="1">
      <alignment horizontal="left" vertical="top" wrapText="1"/>
    </xf>
    <xf numFmtId="0" fontId="3" fillId="2" borderId="37" xfId="0" applyFont="1" applyFill="1" applyBorder="1" applyAlignment="1">
      <alignment horizontal="left" vertical="top" wrapText="1"/>
    </xf>
    <xf numFmtId="0" fontId="17" fillId="55" borderId="39" xfId="0" applyFont="1" applyFill="1" applyBorder="1" applyAlignment="1">
      <alignment horizontal="center"/>
    </xf>
    <xf numFmtId="0" fontId="17" fillId="55" borderId="40" xfId="0" applyFont="1" applyFill="1" applyBorder="1" applyAlignment="1">
      <alignment horizontal="center"/>
    </xf>
    <xf numFmtId="0" fontId="17" fillId="55" borderId="41" xfId="0" applyFont="1" applyFill="1" applyBorder="1" applyAlignment="1">
      <alignment horizontal="center"/>
    </xf>
    <xf numFmtId="0" fontId="3" fillId="20" borderId="39" xfId="0" applyFont="1" applyFill="1" applyBorder="1" applyAlignment="1">
      <alignment horizontal="center"/>
    </xf>
    <xf numFmtId="0" fontId="3" fillId="20" borderId="40" xfId="0" applyFont="1" applyFill="1" applyBorder="1" applyAlignment="1">
      <alignment horizontal="center"/>
    </xf>
    <xf numFmtId="0" fontId="3" fillId="20" borderId="71" xfId="0" applyFont="1" applyFill="1" applyBorder="1" applyAlignment="1">
      <alignment horizontal="center"/>
    </xf>
    <xf numFmtId="0" fontId="3" fillId="57" borderId="70" xfId="0" applyFont="1" applyFill="1" applyBorder="1" applyAlignment="1">
      <alignment horizontal="center" vertical="center"/>
    </xf>
    <xf numFmtId="0" fontId="3" fillId="57" borderId="41" xfId="0" applyFont="1" applyFill="1" applyBorder="1" applyAlignment="1">
      <alignment horizontal="center" vertical="center"/>
    </xf>
    <xf numFmtId="0" fontId="3" fillId="55" borderId="34" xfId="0" applyFont="1" applyFill="1" applyBorder="1" applyAlignment="1">
      <alignment horizontal="center"/>
    </xf>
    <xf numFmtId="0" fontId="3" fillId="55" borderId="36" xfId="0" applyFont="1" applyFill="1" applyBorder="1" applyAlignment="1">
      <alignment horizontal="center"/>
    </xf>
    <xf numFmtId="0" fontId="3" fillId="20" borderId="16" xfId="0" applyFont="1" applyFill="1" applyBorder="1" applyAlignment="1">
      <alignment horizontal="left" vertical="center"/>
    </xf>
    <xf numFmtId="0" fontId="3" fillId="20" borderId="6" xfId="0" applyFont="1" applyFill="1" applyBorder="1" applyAlignment="1">
      <alignment horizontal="left" vertical="center"/>
    </xf>
    <xf numFmtId="0" fontId="3" fillId="20" borderId="7" xfId="0" applyFont="1" applyFill="1" applyBorder="1" applyAlignment="1">
      <alignment horizontal="left"/>
    </xf>
    <xf numFmtId="0" fontId="3" fillId="20" borderId="8" xfId="0" applyFont="1" applyFill="1" applyBorder="1" applyAlignment="1">
      <alignment horizontal="left"/>
    </xf>
    <xf numFmtId="0" fontId="0" fillId="0" borderId="8" xfId="0" applyBorder="1" applyAlignment="1">
      <alignment horizontal="center"/>
    </xf>
    <xf numFmtId="0" fontId="3" fillId="0" borderId="8" xfId="0" applyFont="1" applyBorder="1" applyAlignment="1">
      <alignment horizontal="center"/>
    </xf>
    <xf numFmtId="0" fontId="3" fillId="55" borderId="55" xfId="0" applyFont="1" applyFill="1" applyBorder="1" applyAlignment="1">
      <alignment horizontal="center"/>
    </xf>
    <xf numFmtId="0" fontId="3" fillId="0" borderId="46" xfId="0" applyFont="1" applyBorder="1" applyAlignment="1">
      <alignment horizontal="center"/>
    </xf>
    <xf numFmtId="0" fontId="0" fillId="0" borderId="33" xfId="0" applyBorder="1" applyAlignment="1">
      <alignment horizontal="center"/>
    </xf>
    <xf numFmtId="0" fontId="0" fillId="0" borderId="0" xfId="0" applyAlignment="1">
      <alignment horizontal="center"/>
    </xf>
    <xf numFmtId="0" fontId="0" fillId="0" borderId="37" xfId="0" applyBorder="1" applyAlignment="1">
      <alignment horizontal="center"/>
    </xf>
    <xf numFmtId="0" fontId="31" fillId="0" borderId="33" xfId="0" applyFont="1" applyBorder="1" applyAlignment="1">
      <alignment horizontal="left" wrapText="1"/>
    </xf>
    <xf numFmtId="0" fontId="31" fillId="0" borderId="0" xfId="0" applyFont="1" applyAlignment="1">
      <alignment horizontal="left" wrapText="1"/>
    </xf>
    <xf numFmtId="0" fontId="31" fillId="0" borderId="37" xfId="0" applyFont="1" applyBorder="1" applyAlignment="1">
      <alignment horizontal="left" wrapText="1"/>
    </xf>
    <xf numFmtId="0" fontId="34" fillId="2" borderId="1" xfId="0" applyFont="1" applyFill="1" applyBorder="1" applyAlignment="1">
      <alignment horizontal="left" vertical="top" wrapText="1"/>
    </xf>
    <xf numFmtId="0" fontId="33" fillId="2" borderId="1" xfId="0" applyFont="1" applyFill="1" applyBorder="1" applyAlignment="1">
      <alignment horizontal="left"/>
    </xf>
    <xf numFmtId="0" fontId="0" fillId="2" borderId="1" xfId="0" applyFont="1" applyFill="1" applyBorder="1" applyAlignment="1">
      <alignment horizontal="left" wrapText="1"/>
    </xf>
    <xf numFmtId="0" fontId="35" fillId="12" borderId="5" xfId="0" applyFont="1" applyFill="1" applyBorder="1" applyAlignment="1">
      <alignment horizontal="left" vertical="center" wrapText="1"/>
    </xf>
    <xf numFmtId="0" fontId="35" fillId="12" borderId="6" xfId="0" applyFont="1" applyFill="1" applyBorder="1" applyAlignment="1">
      <alignment horizontal="left" vertical="center" wrapText="1"/>
    </xf>
    <xf numFmtId="0" fontId="35" fillId="12" borderId="2" xfId="0" applyFont="1" applyFill="1" applyBorder="1" applyAlignment="1">
      <alignment horizontal="left" vertical="center" wrapText="1"/>
    </xf>
    <xf numFmtId="0" fontId="33" fillId="2" borderId="1" xfId="0" applyFont="1" applyFill="1" applyBorder="1" applyAlignment="1">
      <alignment horizontal="left" wrapText="1"/>
    </xf>
    <xf numFmtId="0" fontId="33" fillId="2" borderId="5" xfId="0" applyFont="1" applyFill="1" applyBorder="1" applyAlignment="1">
      <alignment horizontal="center"/>
    </xf>
    <xf numFmtId="0" fontId="33" fillId="2" borderId="6" xfId="0" applyFont="1" applyFill="1" applyBorder="1" applyAlignment="1">
      <alignment horizontal="center"/>
    </xf>
    <xf numFmtId="0" fontId="33" fillId="2" borderId="2" xfId="0" applyFont="1" applyFill="1" applyBorder="1" applyAlignment="1">
      <alignment horizontal="center"/>
    </xf>
    <xf numFmtId="0" fontId="33" fillId="23" borderId="5" xfId="0" applyFont="1" applyFill="1" applyBorder="1" applyAlignment="1">
      <alignment horizontal="center"/>
    </xf>
    <xf numFmtId="0" fontId="33" fillId="23" borderId="6" xfId="0" applyFont="1" applyFill="1" applyBorder="1" applyAlignment="1">
      <alignment horizontal="center"/>
    </xf>
    <xf numFmtId="0" fontId="33" fillId="2" borderId="3" xfId="0" applyFont="1" applyFill="1" applyBorder="1" applyAlignment="1">
      <alignment horizontal="left"/>
    </xf>
    <xf numFmtId="0" fontId="0"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15" fillId="11" borderId="4" xfId="0" applyFont="1" applyFill="1" applyBorder="1" applyAlignment="1">
      <alignment horizontal="right" vertical="center"/>
    </xf>
    <xf numFmtId="0" fontId="15" fillId="11" borderId="12" xfId="0" applyFont="1" applyFill="1" applyBorder="1" applyAlignment="1">
      <alignment horizontal="right" vertical="center"/>
    </xf>
    <xf numFmtId="0" fontId="15" fillId="11" borderId="3" xfId="0" applyFont="1" applyFill="1" applyBorder="1" applyAlignment="1">
      <alignment horizontal="right" vertical="center"/>
    </xf>
    <xf numFmtId="0" fontId="15" fillId="11" borderId="42" xfId="0" applyFont="1" applyFill="1" applyBorder="1" applyAlignment="1">
      <alignment horizontal="right" vertical="center"/>
    </xf>
    <xf numFmtId="0" fontId="15" fillId="11" borderId="43" xfId="0" applyFont="1" applyFill="1" applyBorder="1" applyAlignment="1">
      <alignment horizontal="right" vertical="center"/>
    </xf>
    <xf numFmtId="0" fontId="15" fillId="11" borderId="27" xfId="0" applyFont="1" applyFill="1" applyBorder="1" applyAlignment="1">
      <alignment horizontal="right" vertical="center"/>
    </xf>
    <xf numFmtId="0" fontId="35" fillId="3" borderId="1" xfId="0" applyFont="1" applyFill="1" applyBorder="1" applyAlignment="1">
      <alignment horizontal="left"/>
    </xf>
    <xf numFmtId="0" fontId="15" fillId="12" borderId="1" xfId="0" applyFont="1" applyFill="1" applyBorder="1" applyAlignment="1">
      <alignment horizontal="center" vertical="center" wrapText="1"/>
    </xf>
    <xf numFmtId="0" fontId="33" fillId="2" borderId="1" xfId="0" applyFont="1" applyFill="1" applyBorder="1" applyAlignment="1">
      <alignment horizontal="center"/>
    </xf>
    <xf numFmtId="0" fontId="33" fillId="23" borderId="1" xfId="0" applyFont="1" applyFill="1" applyBorder="1" applyAlignment="1">
      <alignment horizontal="center"/>
    </xf>
    <xf numFmtId="0" fontId="33" fillId="2" borderId="4" xfId="0" applyFont="1" applyFill="1" applyBorder="1" applyAlignment="1">
      <alignment horizontal="center"/>
    </xf>
    <xf numFmtId="0" fontId="0" fillId="23" borderId="4" xfId="0" applyFont="1" applyFill="1" applyBorder="1" applyAlignment="1">
      <alignment horizontal="center" vertical="center"/>
    </xf>
    <xf numFmtId="0" fontId="33" fillId="23" borderId="4" xfId="0" applyFont="1" applyFill="1" applyBorder="1" applyAlignment="1">
      <alignment horizontal="center"/>
    </xf>
    <xf numFmtId="0" fontId="31" fillId="2" borderId="33" xfId="0" applyFont="1" applyFill="1" applyBorder="1" applyAlignment="1">
      <alignment horizontal="left" vertical="top" wrapText="1"/>
    </xf>
    <xf numFmtId="0" fontId="31" fillId="2" borderId="0" xfId="0" applyFont="1" applyFill="1" applyBorder="1" applyAlignment="1">
      <alignment horizontal="left" vertical="top" wrapText="1"/>
    </xf>
    <xf numFmtId="0" fontId="0" fillId="2" borderId="5" xfId="0" applyFont="1" applyFill="1" applyBorder="1" applyAlignment="1">
      <alignment horizontal="left" wrapText="1"/>
    </xf>
    <xf numFmtId="0" fontId="0" fillId="0" borderId="1" xfId="0" applyFont="1" applyBorder="1" applyAlignment="1">
      <alignment horizontal="center"/>
    </xf>
    <xf numFmtId="0" fontId="0" fillId="23" borderId="1" xfId="0" applyFont="1" applyFill="1" applyBorder="1" applyAlignment="1">
      <alignment horizontal="center"/>
    </xf>
    <xf numFmtId="0" fontId="33" fillId="0" borderId="1" xfId="0" applyFont="1" applyBorder="1" applyAlignment="1">
      <alignment horizontal="center"/>
    </xf>
    <xf numFmtId="0" fontId="34" fillId="23" borderId="1" xfId="0" applyFont="1" applyFill="1" applyBorder="1" applyAlignment="1">
      <alignment horizontal="center" vertical="center"/>
    </xf>
    <xf numFmtId="0" fontId="34" fillId="23" borderId="5" xfId="0" applyFont="1" applyFill="1" applyBorder="1" applyAlignment="1">
      <alignment horizontal="center" vertical="center"/>
    </xf>
    <xf numFmtId="0" fontId="33" fillId="2" borderId="5" xfId="0" applyFont="1" applyFill="1" applyBorder="1" applyAlignment="1">
      <alignment horizontal="left" wrapText="1"/>
    </xf>
    <xf numFmtId="0" fontId="33" fillId="2" borderId="6" xfId="0" applyFont="1" applyFill="1" applyBorder="1" applyAlignment="1">
      <alignment horizontal="left" wrapText="1"/>
    </xf>
    <xf numFmtId="0" fontId="33" fillId="2" borderId="2" xfId="0" applyFont="1" applyFill="1" applyBorder="1" applyAlignment="1">
      <alignment horizontal="left" wrapText="1"/>
    </xf>
    <xf numFmtId="0" fontId="33" fillId="0" borderId="7" xfId="0" applyFont="1" applyBorder="1" applyAlignment="1">
      <alignment horizontal="left" wrapText="1"/>
    </xf>
    <xf numFmtId="0" fontId="33" fillId="0" borderId="8" xfId="0" applyFont="1" applyBorder="1" applyAlignment="1">
      <alignment horizontal="left"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0" fillId="2" borderId="1" xfId="0" applyFont="1" applyFill="1" applyBorder="1" applyAlignment="1">
      <alignment horizontal="left"/>
    </xf>
    <xf numFmtId="0" fontId="15" fillId="11" borderId="42" xfId="0" applyFont="1" applyFill="1" applyBorder="1" applyAlignment="1">
      <alignment horizontal="center" vertical="center"/>
    </xf>
    <xf numFmtId="0" fontId="15" fillId="11" borderId="43" xfId="0" applyFont="1" applyFill="1" applyBorder="1" applyAlignment="1">
      <alignment horizontal="center" vertical="center"/>
    </xf>
    <xf numFmtId="0" fontId="15" fillId="11" borderId="27" xfId="0" applyFont="1" applyFill="1" applyBorder="1" applyAlignment="1">
      <alignment horizontal="center" vertical="center"/>
    </xf>
    <xf numFmtId="0" fontId="33" fillId="2" borderId="5" xfId="0" applyFont="1" applyFill="1" applyBorder="1" applyAlignment="1">
      <alignment horizontal="left"/>
    </xf>
    <xf numFmtId="0" fontId="33" fillId="2" borderId="6" xfId="0" applyFont="1" applyFill="1" applyBorder="1" applyAlignment="1">
      <alignment horizontal="left"/>
    </xf>
    <xf numFmtId="0" fontId="33" fillId="2" borderId="2" xfId="0" applyFont="1" applyFill="1" applyBorder="1" applyAlignment="1">
      <alignment horizontal="left"/>
    </xf>
    <xf numFmtId="0" fontId="15" fillId="21" borderId="5" xfId="0" applyFont="1" applyFill="1" applyBorder="1" applyAlignment="1">
      <alignment horizontal="center"/>
    </xf>
    <xf numFmtId="0" fontId="15" fillId="21" borderId="6" xfId="0" applyFont="1" applyFill="1" applyBorder="1" applyAlignment="1">
      <alignment horizontal="center"/>
    </xf>
    <xf numFmtId="0" fontId="15" fillId="21" borderId="2" xfId="0" applyFont="1" applyFill="1" applyBorder="1" applyAlignment="1">
      <alignment horizontal="center"/>
    </xf>
    <xf numFmtId="0" fontId="15" fillId="2" borderId="5" xfId="0" applyFont="1" applyFill="1" applyBorder="1" applyAlignment="1">
      <alignment horizontal="left" wrapText="1"/>
    </xf>
    <xf numFmtId="0" fontId="15" fillId="2" borderId="6" xfId="0" applyFont="1" applyFill="1" applyBorder="1" applyAlignment="1">
      <alignment horizontal="left" wrapText="1"/>
    </xf>
    <xf numFmtId="0" fontId="15" fillId="2" borderId="2" xfId="0" applyFont="1" applyFill="1" applyBorder="1" applyAlignment="1">
      <alignment horizontal="left" wrapText="1"/>
    </xf>
    <xf numFmtId="0" fontId="15" fillId="2" borderId="1" xfId="0" applyFont="1" applyFill="1" applyBorder="1" applyAlignment="1">
      <alignment horizontal="left"/>
    </xf>
    <xf numFmtId="0" fontId="15" fillId="2" borderId="5" xfId="0" applyFont="1" applyFill="1" applyBorder="1" applyAlignment="1">
      <alignment horizontal="left"/>
    </xf>
    <xf numFmtId="0" fontId="15" fillId="2" borderId="6" xfId="0" applyFont="1" applyFill="1" applyBorder="1" applyAlignment="1">
      <alignment horizontal="left"/>
    </xf>
    <xf numFmtId="0" fontId="15" fillId="2" borderId="2" xfId="0" applyFont="1" applyFill="1" applyBorder="1" applyAlignment="1">
      <alignment horizontal="left"/>
    </xf>
    <xf numFmtId="0" fontId="15" fillId="23" borderId="5" xfId="0" applyFont="1" applyFill="1" applyBorder="1" applyAlignment="1">
      <alignment horizontal="center"/>
    </xf>
    <xf numFmtId="0" fontId="15" fillId="23" borderId="6" xfId="0" applyFont="1" applyFill="1" applyBorder="1" applyAlignment="1">
      <alignment horizontal="center"/>
    </xf>
    <xf numFmtId="0" fontId="15" fillId="23" borderId="2" xfId="0" applyFont="1" applyFill="1" applyBorder="1" applyAlignment="1">
      <alignment horizontal="center"/>
    </xf>
    <xf numFmtId="9" fontId="15" fillId="21" borderId="5" xfId="30" applyFont="1" applyFill="1" applyBorder="1" applyAlignment="1">
      <alignment horizontal="center"/>
    </xf>
    <xf numFmtId="9" fontId="15" fillId="21" borderId="6" xfId="30" applyFont="1" applyFill="1" applyBorder="1" applyAlignment="1">
      <alignment horizontal="center"/>
    </xf>
    <xf numFmtId="9" fontId="15" fillId="21" borderId="2" xfId="30" applyFont="1" applyFill="1" applyBorder="1" applyAlignment="1">
      <alignment horizontal="center"/>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2" xfId="0" applyFont="1" applyFill="1" applyBorder="1" applyAlignment="1">
      <alignment horizontal="left" wrapText="1"/>
    </xf>
    <xf numFmtId="0" fontId="33" fillId="0" borderId="5" xfId="0" applyFont="1" applyFill="1" applyBorder="1" applyAlignment="1">
      <alignment horizontal="left" wrapText="1"/>
    </xf>
    <xf numFmtId="0" fontId="33" fillId="0" borderId="6" xfId="0" applyFont="1" applyFill="1" applyBorder="1" applyAlignment="1">
      <alignment horizontal="left" wrapText="1"/>
    </xf>
    <xf numFmtId="0" fontId="33" fillId="0" borderId="2" xfId="0" applyFont="1" applyFill="1" applyBorder="1" applyAlignment="1">
      <alignment horizontal="left" wrapText="1"/>
    </xf>
    <xf numFmtId="0" fontId="33" fillId="0" borderId="5" xfId="0" applyFont="1" applyBorder="1" applyAlignment="1">
      <alignment horizontal="left"/>
    </xf>
    <xf numFmtId="0" fontId="33" fillId="0" borderId="6" xfId="0" applyFont="1" applyBorder="1" applyAlignment="1">
      <alignment horizontal="left"/>
    </xf>
    <xf numFmtId="0" fontId="33" fillId="0" borderId="2" xfId="0" applyFont="1" applyBorder="1" applyAlignment="1">
      <alignment horizontal="left"/>
    </xf>
    <xf numFmtId="0" fontId="33" fillId="0" borderId="5" xfId="0" applyFont="1" applyBorder="1" applyAlignment="1">
      <alignment horizontal="left" wrapText="1"/>
    </xf>
    <xf numFmtId="0" fontId="33" fillId="0" borderId="6" xfId="0" applyFont="1" applyBorder="1" applyAlignment="1">
      <alignment horizontal="left" wrapText="1"/>
    </xf>
    <xf numFmtId="0" fontId="33" fillId="0" borderId="2" xfId="0" applyFont="1" applyBorder="1" applyAlignment="1">
      <alignment horizontal="left" wrapText="1"/>
    </xf>
    <xf numFmtId="0" fontId="35" fillId="12" borderId="5" xfId="0" applyFont="1" applyFill="1" applyBorder="1" applyAlignment="1">
      <alignment horizontal="center" wrapText="1"/>
    </xf>
    <xf numFmtId="0" fontId="35" fillId="12" borderId="6" xfId="0" applyFont="1" applyFill="1" applyBorder="1" applyAlignment="1">
      <alignment horizontal="center" wrapText="1"/>
    </xf>
    <xf numFmtId="0" fontId="35" fillId="12" borderId="2" xfId="0" applyFont="1" applyFill="1" applyBorder="1" applyAlignment="1">
      <alignment horizontal="center" wrapText="1"/>
    </xf>
    <xf numFmtId="0" fontId="15" fillId="12" borderId="5" xfId="0" applyFont="1" applyFill="1" applyBorder="1" applyAlignment="1">
      <alignment horizontal="center" wrapText="1"/>
    </xf>
    <xf numFmtId="0" fontId="15" fillId="12" borderId="2" xfId="0" applyFont="1" applyFill="1" applyBorder="1" applyAlignment="1">
      <alignment horizontal="center" wrapText="1"/>
    </xf>
    <xf numFmtId="165" fontId="15" fillId="16" borderId="5" xfId="0" applyNumberFormat="1" applyFont="1" applyFill="1" applyBorder="1" applyAlignment="1">
      <alignment horizontal="center"/>
    </xf>
    <xf numFmtId="165" fontId="15" fillId="16" borderId="2" xfId="0" applyNumberFormat="1" applyFont="1" applyFill="1" applyBorder="1" applyAlignment="1">
      <alignment horizontal="center"/>
    </xf>
    <xf numFmtId="0" fontId="39" fillId="2" borderId="5" xfId="0" applyFont="1" applyFill="1" applyBorder="1" applyAlignment="1">
      <alignment horizontal="left"/>
    </xf>
    <xf numFmtId="0" fontId="39" fillId="2" borderId="6" xfId="0" applyFont="1" applyFill="1" applyBorder="1" applyAlignment="1">
      <alignment horizontal="left"/>
    </xf>
    <xf numFmtId="0" fontId="20" fillId="2" borderId="0" xfId="0" applyFont="1" applyFill="1" applyBorder="1" applyAlignment="1">
      <alignment horizontal="center" vertical="center" wrapText="1"/>
    </xf>
    <xf numFmtId="0" fontId="33" fillId="0" borderId="5" xfId="0" quotePrefix="1" applyFont="1" applyFill="1" applyBorder="1" applyAlignment="1">
      <alignment horizontal="left"/>
    </xf>
    <xf numFmtId="0" fontId="33" fillId="0" borderId="6" xfId="0" quotePrefix="1" applyFont="1" applyFill="1" applyBorder="1" applyAlignment="1">
      <alignment horizontal="left"/>
    </xf>
    <xf numFmtId="0" fontId="33" fillId="0" borderId="2" xfId="0" quotePrefix="1" applyFont="1" applyFill="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40" fillId="2" borderId="1"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12" borderId="5" xfId="0" applyFont="1" applyFill="1" applyBorder="1" applyAlignment="1">
      <alignment horizontal="left" vertical="center" wrapText="1"/>
    </xf>
    <xf numFmtId="0" fontId="15" fillId="12" borderId="6"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33" fillId="0" borderId="5" xfId="0" applyFont="1" applyFill="1" applyBorder="1" applyAlignment="1">
      <alignment horizontal="left"/>
    </xf>
    <xf numFmtId="0" fontId="33" fillId="0" borderId="6" xfId="0" applyFont="1" applyFill="1" applyBorder="1" applyAlignment="1">
      <alignment horizontal="left"/>
    </xf>
    <xf numFmtId="0" fontId="33" fillId="0" borderId="2" xfId="0" applyFont="1" applyFill="1" applyBorder="1" applyAlignment="1">
      <alignment horizontal="left"/>
    </xf>
    <xf numFmtId="0" fontId="15" fillId="12" borderId="6" xfId="0" applyFont="1" applyFill="1" applyBorder="1" applyAlignment="1">
      <alignment horizontal="center" wrapText="1"/>
    </xf>
    <xf numFmtId="0" fontId="0" fillId="18" borderId="39" xfId="0" applyFill="1" applyBorder="1" applyAlignment="1">
      <alignment horizontal="center"/>
    </xf>
    <xf numFmtId="0" fontId="0" fillId="18" borderId="40" xfId="0" applyFill="1" applyBorder="1" applyAlignment="1">
      <alignment horizontal="center"/>
    </xf>
    <xf numFmtId="0" fontId="0" fillId="18" borderId="41" xfId="0" applyFill="1" applyBorder="1" applyAlignment="1">
      <alignment horizontal="center"/>
    </xf>
    <xf numFmtId="0" fontId="15" fillId="11" borderId="48" xfId="0" quotePrefix="1" applyFont="1" applyFill="1" applyBorder="1" applyAlignment="1">
      <alignment horizontal="right" vertical="top"/>
    </xf>
    <xf numFmtId="0" fontId="15" fillId="11" borderId="10" xfId="0" quotePrefix="1" applyFont="1" applyFill="1" applyBorder="1" applyAlignment="1">
      <alignment horizontal="right" vertical="top"/>
    </xf>
    <xf numFmtId="0" fontId="15" fillId="17" borderId="5" xfId="0" applyFont="1" applyFill="1" applyBorder="1" applyAlignment="1">
      <alignment horizontal="center"/>
    </xf>
    <xf numFmtId="0" fontId="15" fillId="17" borderId="6" xfId="0" applyFont="1" applyFill="1" applyBorder="1" applyAlignment="1">
      <alignment horizontal="center"/>
    </xf>
    <xf numFmtId="0" fontId="15" fillId="17" borderId="2" xfId="0" applyFont="1" applyFill="1" applyBorder="1" applyAlignment="1">
      <alignment horizontal="center"/>
    </xf>
    <xf numFmtId="0" fontId="15" fillId="12" borderId="5" xfId="0" applyFont="1" applyFill="1" applyBorder="1" applyAlignment="1">
      <alignment horizontal="center"/>
    </xf>
    <xf numFmtId="0" fontId="15" fillId="12" borderId="2" xfId="0" applyFont="1" applyFill="1" applyBorder="1" applyAlignment="1">
      <alignment horizontal="center"/>
    </xf>
    <xf numFmtId="0" fontId="0" fillId="2" borderId="16" xfId="0" applyFont="1" applyFill="1" applyBorder="1" applyAlignment="1">
      <alignment horizontal="left" vertical="top"/>
    </xf>
    <xf numFmtId="0" fontId="0" fillId="2" borderId="6" xfId="0" applyFont="1" applyFill="1" applyBorder="1" applyAlignment="1">
      <alignment horizontal="left" vertical="top"/>
    </xf>
    <xf numFmtId="0" fontId="0" fillId="23" borderId="5" xfId="0" applyFont="1" applyFill="1" applyBorder="1" applyAlignment="1">
      <alignment horizontal="center" wrapText="1"/>
    </xf>
    <xf numFmtId="0" fontId="0" fillId="23" borderId="6" xfId="0" applyFont="1" applyFill="1" applyBorder="1" applyAlignment="1">
      <alignment horizontal="center" wrapText="1"/>
    </xf>
    <xf numFmtId="0" fontId="0" fillId="23" borderId="2" xfId="0" applyFont="1" applyFill="1" applyBorder="1" applyAlignment="1">
      <alignment horizontal="center" wrapText="1"/>
    </xf>
    <xf numFmtId="0" fontId="0" fillId="2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0" xfId="0" applyAlignment="1">
      <alignment horizontal="center" wrapText="1"/>
    </xf>
    <xf numFmtId="0" fontId="15" fillId="2" borderId="1" xfId="0" applyFont="1" applyFill="1" applyBorder="1" applyAlignment="1">
      <alignment horizontal="center" vertical="center" wrapText="1"/>
    </xf>
    <xf numFmtId="0" fontId="16" fillId="7" borderId="0" xfId="0" applyFont="1" applyFill="1" applyAlignment="1">
      <alignment horizontal="center" vertical="center" wrapText="1"/>
    </xf>
    <xf numFmtId="0" fontId="7" fillId="0" borderId="4" xfId="0" applyFont="1" applyFill="1" applyBorder="1" applyAlignment="1">
      <alignment horizontal="center" vertical="center"/>
    </xf>
    <xf numFmtId="0" fontId="7" fillId="12" borderId="1" xfId="0" applyFont="1" applyFill="1" applyBorder="1" applyAlignment="1">
      <alignment horizontal="center" vertical="center"/>
    </xf>
    <xf numFmtId="0" fontId="0" fillId="2" borderId="1" xfId="0" applyFont="1" applyFill="1" applyBorder="1" applyAlignment="1">
      <alignment wrapText="1"/>
    </xf>
    <xf numFmtId="0" fontId="7" fillId="0" borderId="4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0" fillId="2" borderId="4" xfId="0" applyFont="1" applyFill="1" applyBorder="1" applyAlignment="1">
      <alignment wrapText="1"/>
    </xf>
    <xf numFmtId="0" fontId="0" fillId="2" borderId="11" xfId="0" applyFont="1" applyFill="1" applyBorder="1" applyAlignment="1">
      <alignment horizontal="left" vertical="center" wrapText="1"/>
    </xf>
    <xf numFmtId="0" fontId="0" fillId="2" borderId="9" xfId="0" applyFont="1" applyFill="1" applyBorder="1" applyAlignment="1">
      <alignment horizontal="left" vertical="center" wrapText="1"/>
    </xf>
    <xf numFmtId="0" fontId="15" fillId="11" borderId="7" xfId="0" applyFont="1" applyFill="1" applyBorder="1" applyAlignment="1">
      <alignment horizontal="right" vertical="center"/>
    </xf>
    <xf numFmtId="0" fontId="15" fillId="11" borderId="47" xfId="0" applyFont="1" applyFill="1" applyBorder="1" applyAlignment="1">
      <alignment horizontal="right" vertical="center"/>
    </xf>
    <xf numFmtId="0" fontId="15" fillId="0" borderId="1" xfId="0" applyFont="1" applyFill="1" applyBorder="1" applyAlignment="1">
      <alignment horizontal="center" vertical="center"/>
    </xf>
    <xf numFmtId="0" fontId="0" fillId="2" borderId="5"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3" borderId="6" xfId="0" applyFont="1" applyFill="1" applyBorder="1" applyAlignment="1">
      <alignment horizontal="center" vertical="top" wrapText="1"/>
    </xf>
    <xf numFmtId="0" fontId="0" fillId="23" borderId="2" xfId="0" applyFont="1" applyFill="1" applyBorder="1" applyAlignment="1">
      <alignment horizontal="center" vertical="top" wrapText="1"/>
    </xf>
    <xf numFmtId="0" fontId="16" fillId="7" borderId="0" xfId="0" applyFont="1" applyFill="1" applyAlignment="1">
      <alignment horizont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9" fontId="0" fillId="23" borderId="5" xfId="0" applyNumberFormat="1" applyFont="1" applyFill="1" applyBorder="1" applyAlignment="1">
      <alignment horizontal="center" vertical="center" wrapText="1"/>
    </xf>
    <xf numFmtId="0" fontId="0" fillId="23" borderId="6" xfId="0" applyFont="1" applyFill="1" applyBorder="1" applyAlignment="1">
      <alignment horizontal="center" vertical="center" wrapText="1"/>
    </xf>
    <xf numFmtId="0" fontId="0" fillId="23" borderId="2"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0" fillId="23" borderId="5" xfId="0" applyFont="1" applyFill="1" applyBorder="1" applyAlignment="1">
      <alignment horizontal="center" vertical="center" wrapText="1"/>
    </xf>
    <xf numFmtId="0" fontId="0" fillId="23" borderId="5" xfId="1" applyNumberFormat="1" applyFont="1" applyFill="1" applyBorder="1" applyAlignment="1">
      <alignment horizontal="center" vertical="center" wrapText="1"/>
    </xf>
    <xf numFmtId="0" fontId="0" fillId="23" borderId="6" xfId="1" applyNumberFormat="1" applyFont="1" applyFill="1" applyBorder="1" applyAlignment="1">
      <alignment horizontal="center" vertical="center" wrapText="1"/>
    </xf>
    <xf numFmtId="0" fontId="0" fillId="23" borderId="2" xfId="1" applyNumberFormat="1" applyFont="1" applyFill="1" applyBorder="1" applyAlignment="1">
      <alignment horizontal="center" vertical="center" wrapText="1"/>
    </xf>
    <xf numFmtId="0" fontId="0" fillId="2" borderId="6" xfId="0" applyFont="1" applyFill="1" applyBorder="1" applyAlignment="1">
      <alignment horizontal="left" wrapText="1"/>
    </xf>
    <xf numFmtId="0" fontId="0" fillId="2" borderId="2" xfId="0" applyFont="1" applyFill="1" applyBorder="1" applyAlignment="1">
      <alignment horizontal="left"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1" borderId="1" xfId="0" applyNumberFormat="1" applyFont="1" applyFill="1" applyBorder="1" applyAlignment="1">
      <alignment horizontal="center" vertical="center" wrapText="1"/>
    </xf>
    <xf numFmtId="0" fontId="3" fillId="21" borderId="5"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 xfId="0" applyFont="1" applyFill="1" applyBorder="1" applyAlignment="1">
      <alignment horizontal="center" vertical="center"/>
    </xf>
    <xf numFmtId="2" fontId="3" fillId="23" borderId="5" xfId="0" applyNumberFormat="1" applyFont="1" applyFill="1" applyBorder="1" applyAlignment="1">
      <alignment horizontal="center" vertical="center" wrapText="1"/>
    </xf>
    <xf numFmtId="2" fontId="3" fillId="23" borderId="6" xfId="0" applyNumberFormat="1" applyFont="1" applyFill="1" applyBorder="1" applyAlignment="1">
      <alignment horizontal="center" vertical="center" wrapText="1"/>
    </xf>
    <xf numFmtId="2" fontId="3" fillId="23" borderId="2" xfId="0" applyNumberFormat="1" applyFont="1" applyFill="1" applyBorder="1" applyAlignment="1">
      <alignment horizontal="center" vertical="center" wrapText="1"/>
    </xf>
    <xf numFmtId="2" fontId="3" fillId="21" borderId="5" xfId="0" applyNumberFormat="1" applyFont="1" applyFill="1" applyBorder="1" applyAlignment="1">
      <alignment horizontal="center" vertical="center" wrapText="1"/>
    </xf>
    <xf numFmtId="2" fontId="3" fillId="21" borderId="6" xfId="0" applyNumberFormat="1" applyFont="1" applyFill="1" applyBorder="1" applyAlignment="1">
      <alignment horizontal="center" vertical="center" wrapText="1"/>
    </xf>
    <xf numFmtId="2" fontId="3" fillId="21" borderId="2" xfId="0" applyNumberFormat="1" applyFont="1" applyFill="1" applyBorder="1" applyAlignment="1">
      <alignment horizontal="center" vertical="center" wrapText="1"/>
    </xf>
    <xf numFmtId="2" fontId="3" fillId="23" borderId="1" xfId="0" applyNumberFormat="1" applyFont="1" applyFill="1" applyBorder="1" applyAlignment="1">
      <alignment horizontal="center" vertical="center" wrapText="1"/>
    </xf>
    <xf numFmtId="9" fontId="3" fillId="23" borderId="5" xfId="30" applyFont="1" applyFill="1" applyBorder="1" applyAlignment="1">
      <alignment horizontal="center" vertical="center" wrapText="1"/>
    </xf>
    <xf numFmtId="9" fontId="3" fillId="23" borderId="6" xfId="30" applyFont="1" applyFill="1" applyBorder="1" applyAlignment="1">
      <alignment horizontal="center" vertical="center" wrapText="1"/>
    </xf>
    <xf numFmtId="9" fontId="3" fillId="23" borderId="2" xfId="30" applyFont="1" applyFill="1" applyBorder="1" applyAlignment="1">
      <alignment horizontal="center" vertical="center" wrapText="1"/>
    </xf>
    <xf numFmtId="0" fontId="3" fillId="0" borderId="0" xfId="0" applyFont="1" applyBorder="1" applyAlignment="1">
      <alignment horizontal="center" vertical="center"/>
    </xf>
    <xf numFmtId="0" fontId="17" fillId="0" borderId="0" xfId="0" applyFont="1" applyBorder="1" applyAlignment="1">
      <alignment horizontal="center" vertical="center"/>
    </xf>
    <xf numFmtId="0" fontId="0" fillId="0" borderId="0" xfId="0" applyBorder="1" applyAlignment="1">
      <alignment horizontal="center"/>
    </xf>
    <xf numFmtId="14" fontId="17" fillId="0" borderId="0" xfId="0" applyNumberFormat="1" applyFont="1" applyAlignment="1">
      <alignment horizontal="left"/>
    </xf>
    <xf numFmtId="14" fontId="17" fillId="0" borderId="0" xfId="0" applyNumberFormat="1" applyFont="1" applyAlignment="1">
      <alignment horizontal="center"/>
    </xf>
    <xf numFmtId="0" fontId="49" fillId="29" borderId="34" xfId="0" applyFont="1" applyFill="1" applyBorder="1" applyAlignment="1">
      <alignment horizontal="right" wrapText="1"/>
    </xf>
    <xf numFmtId="0" fontId="49" fillId="29" borderId="35" xfId="0" applyFont="1" applyFill="1" applyBorder="1" applyAlignment="1">
      <alignment horizontal="right" wrapText="1"/>
    </xf>
    <xf numFmtId="0" fontId="49" fillId="29" borderId="54" xfId="0" applyFont="1" applyFill="1" applyBorder="1" applyAlignment="1" applyProtection="1">
      <alignment horizontal="center" wrapText="1"/>
      <protection locked="0"/>
    </xf>
    <xf numFmtId="0" fontId="49" fillId="29" borderId="55" xfId="0" applyFont="1" applyFill="1" applyBorder="1" applyAlignment="1" applyProtection="1">
      <alignment horizontal="center" wrapText="1"/>
      <protection locked="0"/>
    </xf>
    <xf numFmtId="0" fontId="49" fillId="29" borderId="33" xfId="0" applyFont="1" applyFill="1" applyBorder="1" applyAlignment="1">
      <alignment horizontal="right" wrapText="1"/>
    </xf>
    <xf numFmtId="0" fontId="49" fillId="29" borderId="0" xfId="0" applyFont="1" applyFill="1" applyAlignment="1">
      <alignment horizontal="right" wrapText="1"/>
    </xf>
    <xf numFmtId="0" fontId="49" fillId="29" borderId="11" xfId="0" applyFont="1" applyFill="1" applyBorder="1" applyAlignment="1" applyProtection="1">
      <alignment horizontal="center" wrapText="1"/>
      <protection locked="0"/>
    </xf>
    <xf numFmtId="0" fontId="49" fillId="29" borderId="44" xfId="0" applyFont="1" applyFill="1" applyBorder="1" applyAlignment="1" applyProtection="1">
      <alignment horizontal="center" wrapText="1"/>
      <protection locked="0"/>
    </xf>
    <xf numFmtId="0" fontId="50" fillId="0" borderId="0" xfId="0" applyFont="1" applyAlignment="1">
      <alignment horizontal="center"/>
    </xf>
    <xf numFmtId="0" fontId="56" fillId="29" borderId="33" xfId="0" applyFont="1" applyFill="1" applyBorder="1" applyAlignment="1">
      <alignment horizontal="right" wrapText="1"/>
    </xf>
    <xf numFmtId="0" fontId="56" fillId="29" borderId="0" xfId="0" applyFont="1" applyFill="1" applyAlignment="1">
      <alignment horizontal="right" wrapText="1"/>
    </xf>
    <xf numFmtId="0" fontId="52" fillId="28" borderId="39" xfId="0" applyFont="1" applyFill="1" applyBorder="1" applyAlignment="1">
      <alignment horizontal="center" wrapText="1"/>
    </xf>
    <xf numFmtId="0" fontId="52" fillId="28" borderId="40" xfId="0" applyFont="1" applyFill="1" applyBorder="1" applyAlignment="1">
      <alignment horizontal="center" wrapText="1"/>
    </xf>
    <xf numFmtId="0" fontId="52" fillId="28" borderId="41" xfId="0" applyFont="1" applyFill="1" applyBorder="1" applyAlignment="1">
      <alignment horizontal="center" wrapText="1"/>
    </xf>
    <xf numFmtId="0" fontId="49" fillId="29" borderId="6" xfId="0" applyFont="1" applyFill="1" applyBorder="1" applyAlignment="1" applyProtection="1">
      <alignment horizontal="center" wrapText="1"/>
      <protection locked="0"/>
    </xf>
    <xf numFmtId="0" fontId="49" fillId="29" borderId="17" xfId="0" applyFont="1" applyFill="1" applyBorder="1" applyAlignment="1" applyProtection="1">
      <alignment horizontal="center" wrapText="1"/>
      <protection locked="0"/>
    </xf>
    <xf numFmtId="3" fontId="49" fillId="29" borderId="6" xfId="0" applyNumberFormat="1" applyFont="1" applyFill="1" applyBorder="1" applyAlignment="1" applyProtection="1">
      <alignment horizontal="center" wrapText="1"/>
      <protection locked="0"/>
    </xf>
    <xf numFmtId="0" fontId="52" fillId="28" borderId="34" xfId="0" applyFont="1" applyFill="1" applyBorder="1" applyAlignment="1">
      <alignment horizontal="center" wrapText="1"/>
    </xf>
    <xf numFmtId="0" fontId="52" fillId="28" borderId="35" xfId="0" applyFont="1" applyFill="1" applyBorder="1" applyAlignment="1">
      <alignment horizontal="center" wrapText="1"/>
    </xf>
    <xf numFmtId="0" fontId="52" fillId="28" borderId="36" xfId="0" applyFont="1" applyFill="1" applyBorder="1" applyAlignment="1">
      <alignment horizontal="center" wrapText="1"/>
    </xf>
    <xf numFmtId="0" fontId="51" fillId="0" borderId="40" xfId="0" applyFont="1" applyBorder="1" applyAlignment="1">
      <alignment horizontal="left" vertical="top" wrapText="1"/>
    </xf>
    <xf numFmtId="0" fontId="51" fillId="0" borderId="41" xfId="0" applyFont="1" applyBorder="1" applyAlignment="1">
      <alignment horizontal="left" vertical="top" wrapText="1"/>
    </xf>
    <xf numFmtId="0" fontId="52" fillId="28" borderId="39" xfId="0" applyFont="1" applyFill="1" applyBorder="1" applyAlignment="1">
      <alignment horizontal="center"/>
    </xf>
    <xf numFmtId="0" fontId="52" fillId="28" borderId="40" xfId="0" applyFont="1" applyFill="1" applyBorder="1" applyAlignment="1">
      <alignment horizontal="center"/>
    </xf>
    <xf numFmtId="0" fontId="52" fillId="28" borderId="41" xfId="0" applyFont="1" applyFill="1" applyBorder="1" applyAlignment="1">
      <alignment horizontal="center"/>
    </xf>
    <xf numFmtId="14" fontId="49" fillId="29" borderId="11" xfId="0" applyNumberFormat="1" applyFont="1" applyFill="1" applyBorder="1" applyAlignment="1" applyProtection="1">
      <alignment horizontal="center" wrapText="1"/>
      <protection locked="0"/>
    </xf>
    <xf numFmtId="0" fontId="49" fillId="29" borderId="9" xfId="0" applyFont="1" applyFill="1" applyBorder="1" applyAlignment="1" applyProtection="1">
      <alignment horizontal="center" wrapText="1"/>
      <protection locked="0"/>
    </xf>
    <xf numFmtId="0" fontId="58" fillId="0" borderId="0" xfId="0" applyFont="1" applyAlignment="1">
      <alignment horizontal="center" wrapText="1"/>
    </xf>
    <xf numFmtId="0" fontId="17" fillId="0" borderId="0" xfId="0" applyFont="1" applyAlignment="1">
      <alignment horizontal="center" wrapText="1"/>
    </xf>
    <xf numFmtId="0" fontId="59" fillId="30" borderId="0" xfId="0" applyFont="1" applyFill="1" applyAlignment="1">
      <alignment horizontal="center" wrapText="1"/>
    </xf>
    <xf numFmtId="0" fontId="49" fillId="0" borderId="0" xfId="0" applyFont="1" applyAlignment="1">
      <alignment horizontal="right" vertical="center" wrapText="1"/>
    </xf>
    <xf numFmtId="0" fontId="61" fillId="31" borderId="0" xfId="0" applyFont="1" applyFill="1" applyAlignment="1">
      <alignment horizontal="center" vertical="center" wrapText="1"/>
    </xf>
    <xf numFmtId="0" fontId="62" fillId="32" borderId="56" xfId="0" applyFont="1" applyFill="1" applyBorder="1" applyAlignment="1">
      <alignment horizontal="center" vertical="center" wrapText="1"/>
    </xf>
    <xf numFmtId="0" fontId="62" fillId="32" borderId="54" xfId="0" applyFont="1" applyFill="1" applyBorder="1" applyAlignment="1">
      <alignment horizontal="center" vertical="center" wrapText="1"/>
    </xf>
    <xf numFmtId="0" fontId="62" fillId="32" borderId="55" xfId="0" applyFont="1" applyFill="1" applyBorder="1" applyAlignment="1">
      <alignment horizontal="center" vertical="center" wrapText="1"/>
    </xf>
    <xf numFmtId="0" fontId="49" fillId="29" borderId="35" xfId="0" applyFont="1" applyFill="1" applyBorder="1" applyAlignment="1">
      <alignment horizontal="right" vertical="center" wrapText="1"/>
    </xf>
    <xf numFmtId="14" fontId="49" fillId="29" borderId="54" xfId="0" applyNumberFormat="1" applyFont="1" applyFill="1" applyBorder="1" applyAlignment="1" applyProtection="1">
      <alignment horizontal="left" wrapText="1"/>
      <protection locked="0"/>
    </xf>
    <xf numFmtId="0" fontId="49" fillId="29" borderId="55" xfId="0" applyFont="1" applyFill="1" applyBorder="1" applyAlignment="1" applyProtection="1">
      <alignment horizontal="left" wrapText="1"/>
      <protection locked="0"/>
    </xf>
    <xf numFmtId="0" fontId="49" fillId="29" borderId="6" xfId="0" applyFont="1" applyFill="1" applyBorder="1" applyAlignment="1">
      <alignment horizontal="left" wrapText="1"/>
    </xf>
    <xf numFmtId="0" fontId="49" fillId="29" borderId="17" xfId="0" applyFont="1" applyFill="1" applyBorder="1" applyAlignment="1">
      <alignment horizontal="left" wrapText="1"/>
    </xf>
    <xf numFmtId="0" fontId="49" fillId="29" borderId="0" xfId="0" applyFont="1" applyFill="1" applyAlignment="1">
      <alignment horizontal="right" vertical="center" wrapText="1"/>
    </xf>
    <xf numFmtId="0" fontId="62" fillId="32" borderId="34" xfId="0" applyFont="1" applyFill="1" applyBorder="1" applyAlignment="1">
      <alignment horizontal="center" vertical="center" wrapText="1"/>
    </xf>
    <xf numFmtId="0" fontId="62" fillId="32" borderId="35" xfId="0" applyFont="1" applyFill="1" applyBorder="1" applyAlignment="1">
      <alignment horizontal="center" vertical="center" wrapText="1"/>
    </xf>
    <xf numFmtId="0" fontId="62" fillId="32" borderId="36" xfId="0" applyFont="1" applyFill="1" applyBorder="1" applyAlignment="1">
      <alignment horizontal="center" vertical="center" wrapText="1"/>
    </xf>
    <xf numFmtId="0" fontId="76" fillId="32" borderId="0" xfId="0" applyFont="1" applyFill="1" applyAlignment="1">
      <alignment horizontal="center" vertical="center" wrapText="1"/>
    </xf>
    <xf numFmtId="0" fontId="62" fillId="32" borderId="49" xfId="0" applyFont="1" applyFill="1" applyBorder="1" applyAlignment="1">
      <alignment horizontal="center" vertical="center" wrapText="1"/>
    </xf>
    <xf numFmtId="0" fontId="66" fillId="30" borderId="53" xfId="0" applyFont="1" applyFill="1" applyBorder="1" applyAlignment="1">
      <alignment horizontal="center" wrapText="1"/>
    </xf>
    <xf numFmtId="0" fontId="66" fillId="30" borderId="0" xfId="0" applyFont="1" applyFill="1" applyAlignment="1">
      <alignment horizontal="center" wrapText="1"/>
    </xf>
    <xf numFmtId="0" fontId="66" fillId="30" borderId="37" xfId="0" applyFont="1" applyFill="1" applyBorder="1" applyAlignment="1">
      <alignment horizontal="center" wrapText="1"/>
    </xf>
    <xf numFmtId="0" fontId="58" fillId="30" borderId="0" xfId="0" applyFont="1" applyFill="1" applyAlignment="1">
      <alignment horizontal="center" wrapText="1"/>
    </xf>
    <xf numFmtId="0" fontId="66" fillId="30" borderId="45" xfId="0" applyFont="1" applyFill="1" applyBorder="1" applyAlignment="1">
      <alignment horizontal="center" wrapText="1"/>
    </xf>
    <xf numFmtId="0" fontId="51" fillId="2" borderId="39" xfId="0" applyFont="1" applyFill="1" applyBorder="1" applyAlignment="1">
      <alignment horizontal="center" vertical="center"/>
    </xf>
    <xf numFmtId="0" fontId="51" fillId="2" borderId="41" xfId="0" applyFont="1" applyFill="1" applyBorder="1" applyAlignment="1">
      <alignment horizontal="center" vertical="center"/>
    </xf>
    <xf numFmtId="0" fontId="88" fillId="38" borderId="34" xfId="0" applyFont="1" applyFill="1" applyBorder="1" applyAlignment="1" applyProtection="1">
      <alignment horizontal="center" vertical="center"/>
      <protection locked="0"/>
    </xf>
    <xf numFmtId="0" fontId="88" fillId="38" borderId="35" xfId="0" applyFont="1" applyFill="1" applyBorder="1" applyAlignment="1" applyProtection="1">
      <alignment horizontal="center" vertical="center"/>
      <protection locked="0"/>
    </xf>
    <xf numFmtId="0" fontId="88" fillId="38" borderId="36" xfId="0" applyFont="1" applyFill="1" applyBorder="1" applyAlignment="1" applyProtection="1">
      <alignment horizontal="center" vertical="center"/>
      <protection locked="0"/>
    </xf>
    <xf numFmtId="0" fontId="88" fillId="38" borderId="33" xfId="0" applyFont="1" applyFill="1" applyBorder="1" applyAlignment="1" applyProtection="1">
      <alignment horizontal="center" vertical="center"/>
      <protection locked="0"/>
    </xf>
    <xf numFmtId="0" fontId="88" fillId="38" borderId="0" xfId="0" applyFont="1" applyFill="1" applyAlignment="1" applyProtection="1">
      <alignment horizontal="center" vertical="center"/>
      <protection locked="0"/>
    </xf>
    <xf numFmtId="0" fontId="88" fillId="38" borderId="37" xfId="0" applyFont="1" applyFill="1" applyBorder="1" applyAlignment="1" applyProtection="1">
      <alignment horizontal="center" vertical="center"/>
      <protection locked="0"/>
    </xf>
    <xf numFmtId="0" fontId="88" fillId="38" borderId="30" xfId="0" applyFont="1" applyFill="1" applyBorder="1" applyAlignment="1" applyProtection="1">
      <alignment horizontal="center" vertical="center"/>
      <protection locked="0"/>
    </xf>
    <xf numFmtId="0" fontId="88" fillId="38" borderId="31" xfId="0" applyFont="1" applyFill="1" applyBorder="1" applyAlignment="1" applyProtection="1">
      <alignment horizontal="center" vertical="center"/>
      <protection locked="0"/>
    </xf>
    <xf numFmtId="0" fontId="88" fillId="38" borderId="32" xfId="0" applyFont="1" applyFill="1" applyBorder="1" applyAlignment="1" applyProtection="1">
      <alignment horizontal="center" vertical="center"/>
      <protection locked="0"/>
    </xf>
    <xf numFmtId="0" fontId="51" fillId="0" borderId="0" xfId="0" applyFont="1" applyAlignment="1" applyProtection="1">
      <alignment horizontal="center" vertical="center"/>
      <protection locked="0"/>
    </xf>
    <xf numFmtId="14" fontId="51" fillId="34" borderId="39" xfId="0" applyNumberFormat="1" applyFont="1" applyFill="1" applyBorder="1" applyAlignment="1">
      <alignment horizontal="center" vertical="center"/>
    </xf>
    <xf numFmtId="14" fontId="51" fillId="34" borderId="40" xfId="0" applyNumberFormat="1" applyFont="1" applyFill="1" applyBorder="1" applyAlignment="1">
      <alignment horizontal="center" vertical="center"/>
    </xf>
    <xf numFmtId="0" fontId="85" fillId="34" borderId="69" xfId="0" applyFont="1" applyFill="1" applyBorder="1" applyAlignment="1">
      <alignment horizontal="center" vertical="center" wrapText="1"/>
    </xf>
    <xf numFmtId="0" fontId="85" fillId="34" borderId="79" xfId="0" applyFont="1" applyFill="1" applyBorder="1" applyAlignment="1">
      <alignment horizontal="center" vertical="center" wrapText="1"/>
    </xf>
    <xf numFmtId="0" fontId="85" fillId="34" borderId="36" xfId="0" applyFont="1" applyFill="1" applyBorder="1" applyAlignment="1">
      <alignment horizontal="center" vertical="center" wrapText="1"/>
    </xf>
    <xf numFmtId="0" fontId="85" fillId="34" borderId="34" xfId="0" applyFont="1" applyFill="1" applyBorder="1" applyAlignment="1">
      <alignment horizontal="center" vertical="center" wrapText="1"/>
    </xf>
    <xf numFmtId="0" fontId="85" fillId="34" borderId="30" xfId="0" applyFont="1" applyFill="1" applyBorder="1" applyAlignment="1">
      <alignment horizontal="center" vertical="center" wrapText="1"/>
    </xf>
    <xf numFmtId="0" fontId="85" fillId="34" borderId="32" xfId="0" applyFont="1" applyFill="1" applyBorder="1" applyAlignment="1">
      <alignment horizontal="center" vertical="center" wrapText="1"/>
    </xf>
    <xf numFmtId="0" fontId="85" fillId="34" borderId="49" xfId="0" applyFont="1" applyFill="1" applyBorder="1" applyAlignment="1">
      <alignment horizontal="center" vertical="center" wrapText="1"/>
    </xf>
    <xf numFmtId="0" fontId="87" fillId="34" borderId="45" xfId="0" applyFont="1" applyFill="1" applyBorder="1" applyAlignment="1">
      <alignment horizontal="center" vertical="center" wrapText="1"/>
    </xf>
    <xf numFmtId="0" fontId="87" fillId="34" borderId="79" xfId="0" applyFont="1" applyFill="1" applyBorder="1" applyAlignment="1">
      <alignment horizontal="center" vertical="center" wrapText="1"/>
    </xf>
    <xf numFmtId="0" fontId="85" fillId="34" borderId="70" xfId="0" applyFont="1" applyFill="1" applyBorder="1" applyAlignment="1">
      <alignment horizontal="center" vertical="center" wrapText="1"/>
    </xf>
    <xf numFmtId="0" fontId="87" fillId="34" borderId="71" xfId="0" applyFont="1" applyFill="1" applyBorder="1" applyAlignment="1">
      <alignment horizontal="center" vertical="center" wrapText="1"/>
    </xf>
    <xf numFmtId="0" fontId="85" fillId="34" borderId="33" xfId="0" applyFont="1" applyFill="1" applyBorder="1" applyAlignment="1">
      <alignment horizontal="center" vertical="center" wrapText="1"/>
    </xf>
    <xf numFmtId="0" fontId="85" fillId="34" borderId="34" xfId="0" applyFont="1" applyFill="1" applyBorder="1" applyAlignment="1">
      <alignment horizontal="center" vertical="center"/>
    </xf>
    <xf numFmtId="0" fontId="85" fillId="34" borderId="30" xfId="0" applyFont="1" applyFill="1" applyBorder="1" applyAlignment="1">
      <alignment horizontal="center" vertical="center"/>
    </xf>
    <xf numFmtId="0" fontId="85" fillId="34" borderId="35" xfId="0" applyFont="1" applyFill="1" applyBorder="1" applyAlignment="1">
      <alignment horizontal="center" vertical="center"/>
    </xf>
    <xf numFmtId="0" fontId="85" fillId="34" borderId="31" xfId="0" applyFont="1" applyFill="1" applyBorder="1" applyAlignment="1">
      <alignment horizontal="center" vertical="center"/>
    </xf>
    <xf numFmtId="0" fontId="85" fillId="34" borderId="35" xfId="0" applyFont="1" applyFill="1" applyBorder="1" applyAlignment="1">
      <alignment horizontal="center" vertical="center" wrapText="1"/>
    </xf>
    <xf numFmtId="0" fontId="85" fillId="34" borderId="31" xfId="0" applyFont="1" applyFill="1" applyBorder="1" applyAlignment="1">
      <alignment horizontal="center" vertical="center" wrapText="1"/>
    </xf>
    <xf numFmtId="0" fontId="85" fillId="34" borderId="0" xfId="0" applyFont="1" applyFill="1" applyAlignment="1">
      <alignment horizontal="center" vertical="center" wrapText="1"/>
    </xf>
    <xf numFmtId="0" fontId="85" fillId="34" borderId="37" xfId="0" applyFont="1" applyFill="1" applyBorder="1" applyAlignment="1">
      <alignment horizontal="center" vertical="center" wrapText="1"/>
    </xf>
    <xf numFmtId="14" fontId="85" fillId="34" borderId="34" xfId="0" applyNumberFormat="1" applyFont="1" applyFill="1" applyBorder="1" applyAlignment="1">
      <alignment horizontal="center" vertical="center" wrapText="1"/>
    </xf>
    <xf numFmtId="14" fontId="85" fillId="34" borderId="33" xfId="0" applyNumberFormat="1" applyFont="1" applyFill="1" applyBorder="1" applyAlignment="1">
      <alignment horizontal="center" vertical="center" wrapText="1"/>
    </xf>
    <xf numFmtId="0" fontId="61" fillId="38" borderId="34" xfId="0" applyFont="1" applyFill="1" applyBorder="1" applyAlignment="1" applyProtection="1">
      <alignment horizontal="center" vertical="center"/>
      <protection locked="0"/>
    </xf>
    <xf numFmtId="0" fontId="61" fillId="38" borderId="35" xfId="0" applyFont="1" applyFill="1" applyBorder="1" applyAlignment="1" applyProtection="1">
      <alignment horizontal="center" vertical="center"/>
      <protection locked="0"/>
    </xf>
    <xf numFmtId="0" fontId="61" fillId="38" borderId="36" xfId="0" applyFont="1" applyFill="1" applyBorder="1" applyAlignment="1" applyProtection="1">
      <alignment horizontal="center" vertical="center"/>
      <protection locked="0"/>
    </xf>
    <xf numFmtId="0" fontId="61" fillId="38" borderId="30" xfId="0" applyFont="1" applyFill="1" applyBorder="1" applyAlignment="1" applyProtection="1">
      <alignment horizontal="center" vertical="center"/>
      <protection locked="0"/>
    </xf>
    <xf numFmtId="0" fontId="61" fillId="38" borderId="31" xfId="0" applyFont="1" applyFill="1" applyBorder="1" applyAlignment="1" applyProtection="1">
      <alignment horizontal="center" vertical="center"/>
      <protection locked="0"/>
    </xf>
    <xf numFmtId="0" fontId="61" fillId="38" borderId="32" xfId="0" applyFont="1" applyFill="1" applyBorder="1" applyAlignment="1" applyProtection="1">
      <alignment horizontal="center" vertical="center"/>
      <protection locked="0"/>
    </xf>
    <xf numFmtId="0" fontId="52" fillId="0" borderId="0" xfId="0" applyFont="1" applyAlignment="1">
      <alignment horizontal="left"/>
    </xf>
    <xf numFmtId="0" fontId="84" fillId="0" borderId="0" xfId="0" applyFont="1" applyAlignment="1">
      <alignment horizontal="center"/>
    </xf>
    <xf numFmtId="0" fontId="85" fillId="39" borderId="39" xfId="0" applyFont="1" applyFill="1" applyBorder="1" applyAlignment="1">
      <alignment horizontal="center" vertical="center"/>
    </xf>
    <xf numFmtId="0" fontId="85" fillId="39" borderId="40" xfId="0" applyFont="1" applyFill="1" applyBorder="1" applyAlignment="1">
      <alignment horizontal="center" vertical="center"/>
    </xf>
    <xf numFmtId="0" fontId="85" fillId="39" borderId="41" xfId="0" applyFont="1" applyFill="1" applyBorder="1" applyAlignment="1">
      <alignment horizontal="center" vertical="center"/>
    </xf>
    <xf numFmtId="0" fontId="85" fillId="39" borderId="57" xfId="0" applyFont="1" applyFill="1" applyBorder="1" applyAlignment="1">
      <alignment horizontal="center" vertical="center"/>
    </xf>
    <xf numFmtId="0" fontId="85" fillId="39" borderId="58" xfId="0" applyFont="1" applyFill="1" applyBorder="1" applyAlignment="1">
      <alignment horizontal="center" vertical="center"/>
    </xf>
    <xf numFmtId="0" fontId="85" fillId="39" borderId="62" xfId="0" applyFont="1" applyFill="1" applyBorder="1" applyAlignment="1">
      <alignment horizontal="center" vertical="center"/>
    </xf>
    <xf numFmtId="0" fontId="84" fillId="0" borderId="40" xfId="0" applyFont="1" applyBorder="1" applyAlignment="1">
      <alignment horizontal="left" vertical="top" wrapText="1"/>
    </xf>
    <xf numFmtId="0" fontId="84" fillId="0" borderId="41" xfId="0" applyFont="1" applyBorder="1" applyAlignment="1">
      <alignment horizontal="left" vertical="top" wrapText="1"/>
    </xf>
    <xf numFmtId="0" fontId="59" fillId="3" borderId="39" xfId="0" applyFont="1" applyFill="1" applyBorder="1" applyAlignment="1">
      <alignment horizontal="center"/>
    </xf>
    <xf numFmtId="0" fontId="59" fillId="3" borderId="40" xfId="0" applyFont="1" applyFill="1" applyBorder="1" applyAlignment="1">
      <alignment horizontal="center"/>
    </xf>
    <xf numFmtId="0" fontId="59" fillId="3" borderId="41" xfId="0" applyFont="1" applyFill="1" applyBorder="1" applyAlignment="1">
      <alignment horizontal="center"/>
    </xf>
    <xf numFmtId="0" fontId="51" fillId="0" borderId="40" xfId="0" applyFont="1" applyBorder="1" applyAlignment="1">
      <alignment horizontal="left" vertical="center" wrapText="1"/>
    </xf>
    <xf numFmtId="0" fontId="51" fillId="0" borderId="41" xfId="0" applyFont="1" applyBorder="1" applyAlignment="1">
      <alignment horizontal="left" vertical="center" wrapText="1"/>
    </xf>
    <xf numFmtId="0" fontId="91" fillId="38" borderId="34" xfId="0" applyFont="1" applyFill="1" applyBorder="1" applyAlignment="1" applyProtection="1">
      <alignment horizontal="center" vertical="center"/>
      <protection locked="0"/>
    </xf>
    <xf numFmtId="0" fontId="91" fillId="38" borderId="35" xfId="0" applyFont="1" applyFill="1" applyBorder="1" applyAlignment="1" applyProtection="1">
      <alignment horizontal="center" vertical="center"/>
      <protection locked="0"/>
    </xf>
    <xf numFmtId="0" fontId="91" fillId="38" borderId="36" xfId="0" applyFont="1" applyFill="1" applyBorder="1" applyAlignment="1" applyProtection="1">
      <alignment horizontal="center" vertical="center"/>
      <protection locked="0"/>
    </xf>
    <xf numFmtId="0" fontId="91" fillId="38" borderId="30" xfId="0" applyFont="1" applyFill="1" applyBorder="1" applyAlignment="1" applyProtection="1">
      <alignment horizontal="center" vertical="center"/>
      <protection locked="0"/>
    </xf>
    <xf numFmtId="0" fontId="91" fillId="38" borderId="31" xfId="0" applyFont="1" applyFill="1" applyBorder="1" applyAlignment="1" applyProtection="1">
      <alignment horizontal="center" vertical="center"/>
      <protection locked="0"/>
    </xf>
    <xf numFmtId="0" fontId="91" fillId="38" borderId="32" xfId="0" applyFont="1" applyFill="1" applyBorder="1" applyAlignment="1" applyProtection="1">
      <alignment horizontal="center" vertical="center"/>
      <protection locked="0"/>
    </xf>
    <xf numFmtId="0" fontId="0" fillId="29" borderId="39" xfId="0" applyFill="1" applyBorder="1" applyAlignment="1" applyProtection="1">
      <alignment horizontal="center" vertical="center" wrapText="1"/>
      <protection locked="0"/>
    </xf>
    <xf numFmtId="0" fontId="0" fillId="29" borderId="40" xfId="0" applyFill="1" applyBorder="1" applyAlignment="1" applyProtection="1">
      <alignment horizontal="center" vertical="center" wrapText="1"/>
      <protection locked="0"/>
    </xf>
    <xf numFmtId="0" fontId="0" fillId="29" borderId="41" xfId="0" applyFill="1" applyBorder="1" applyAlignment="1" applyProtection="1">
      <alignment horizontal="center" vertical="center" wrapText="1"/>
      <protection locked="0"/>
    </xf>
    <xf numFmtId="0" fontId="3" fillId="0" borderId="0" xfId="0" applyFont="1" applyAlignment="1">
      <alignment horizontal="left"/>
    </xf>
    <xf numFmtId="0" fontId="3" fillId="0" borderId="37" xfId="0" applyFont="1" applyBorder="1" applyAlignment="1">
      <alignment horizontal="left"/>
    </xf>
    <xf numFmtId="0" fontId="84" fillId="0" borderId="40" xfId="0" applyFont="1" applyBorder="1" applyAlignment="1">
      <alignment horizontal="left" vertical="center" wrapText="1"/>
    </xf>
    <xf numFmtId="0" fontId="84" fillId="0" borderId="41" xfId="0" applyFont="1" applyBorder="1" applyAlignment="1">
      <alignment horizontal="left" vertical="center" wrapText="1"/>
    </xf>
    <xf numFmtId="0" fontId="88" fillId="38" borderId="34" xfId="0" applyFont="1" applyFill="1" applyBorder="1" applyAlignment="1" applyProtection="1">
      <alignment horizontal="center" vertical="center" wrapText="1"/>
      <protection locked="0"/>
    </xf>
    <xf numFmtId="0" fontId="88" fillId="38" borderId="35" xfId="0" applyFont="1" applyFill="1" applyBorder="1" applyAlignment="1" applyProtection="1">
      <alignment horizontal="center" vertical="center" wrapText="1"/>
      <protection locked="0"/>
    </xf>
    <xf numFmtId="0" fontId="88" fillId="38" borderId="36" xfId="0" applyFont="1" applyFill="1" applyBorder="1" applyAlignment="1" applyProtection="1">
      <alignment horizontal="center" vertical="center" wrapText="1"/>
      <protection locked="0"/>
    </xf>
    <xf numFmtId="0" fontId="88" fillId="38" borderId="30" xfId="0" applyFont="1" applyFill="1" applyBorder="1" applyAlignment="1" applyProtection="1">
      <alignment horizontal="center" vertical="center" wrapText="1"/>
      <protection locked="0"/>
    </xf>
    <xf numFmtId="0" fontId="88" fillId="38" borderId="31" xfId="0" applyFont="1" applyFill="1" applyBorder="1" applyAlignment="1" applyProtection="1">
      <alignment horizontal="center" vertical="center" wrapText="1"/>
      <protection locked="0"/>
    </xf>
    <xf numFmtId="0" fontId="88" fillId="38" borderId="32"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53" fillId="0" borderId="39" xfId="0" applyFont="1" applyBorder="1" applyAlignment="1">
      <alignment horizontal="left" vertical="center" wrapText="1"/>
    </xf>
    <xf numFmtId="0" fontId="53" fillId="0" borderId="40" xfId="0" applyFont="1" applyBorder="1" applyAlignment="1">
      <alignment horizontal="left" vertical="center" wrapText="1"/>
    </xf>
    <xf numFmtId="0" fontId="53" fillId="0" borderId="41" xfId="0" applyFont="1" applyBorder="1" applyAlignment="1">
      <alignment horizontal="left" vertical="center" wrapText="1"/>
    </xf>
    <xf numFmtId="0" fontId="53" fillId="0" borderId="30" xfId="0" applyFont="1" applyBorder="1" applyAlignment="1">
      <alignment horizontal="left" vertical="center"/>
    </xf>
    <xf numFmtId="0" fontId="53" fillId="0" borderId="31" xfId="0" applyFont="1" applyBorder="1" applyAlignment="1">
      <alignment horizontal="left" vertical="center"/>
    </xf>
    <xf numFmtId="0" fontId="53" fillId="0" borderId="32" xfId="0" applyFont="1" applyBorder="1" applyAlignment="1">
      <alignment horizontal="left" vertical="center"/>
    </xf>
    <xf numFmtId="0" fontId="53" fillId="49" borderId="39" xfId="0" applyFont="1" applyFill="1" applyBorder="1" applyAlignment="1">
      <alignment horizontal="center" vertical="center" wrapText="1"/>
    </xf>
    <xf numFmtId="0" fontId="53" fillId="49" borderId="40" xfId="0" applyFont="1" applyFill="1" applyBorder="1" applyAlignment="1">
      <alignment horizontal="center" vertical="center" wrapText="1"/>
    </xf>
    <xf numFmtId="0" fontId="53" fillId="49" borderId="41" xfId="0" applyFont="1" applyFill="1" applyBorder="1" applyAlignment="1">
      <alignment horizontal="center" vertical="center" wrapText="1"/>
    </xf>
    <xf numFmtId="0" fontId="53" fillId="0" borderId="39"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31" xfId="0" applyFont="1" applyBorder="1" applyAlignment="1">
      <alignment horizontal="center" vertical="center" wrapText="1"/>
    </xf>
    <xf numFmtId="0" fontId="53" fillId="0" borderId="32" xfId="0" applyFont="1" applyBorder="1" applyAlignment="1">
      <alignment horizontal="center" vertical="center" wrapText="1"/>
    </xf>
    <xf numFmtId="0" fontId="53" fillId="0" borderId="34" xfId="0" applyFont="1" applyBorder="1" applyAlignment="1">
      <alignment horizontal="left" vertical="center"/>
    </xf>
    <xf numFmtId="0" fontId="53" fillId="0" borderId="35" xfId="0" applyFont="1" applyBorder="1" applyAlignment="1">
      <alignment horizontal="left" vertical="center"/>
    </xf>
    <xf numFmtId="0" fontId="96" fillId="0" borderId="33" xfId="0" applyFont="1" applyBorder="1" applyAlignment="1">
      <alignment horizontal="left" vertical="center"/>
    </xf>
    <xf numFmtId="0" fontId="96" fillId="0" borderId="0" xfId="0" applyFont="1" applyAlignment="1">
      <alignment horizontal="left" vertical="center"/>
    </xf>
    <xf numFmtId="0" fontId="53" fillId="0" borderId="33" xfId="0" applyFont="1" applyBorder="1" applyAlignment="1">
      <alignment horizontal="left" vertical="center"/>
    </xf>
    <xf numFmtId="0" fontId="53" fillId="0" borderId="0" xfId="0" applyFont="1" applyAlignment="1">
      <alignment horizontal="left" vertical="center"/>
    </xf>
    <xf numFmtId="0" fontId="53" fillId="0" borderId="37" xfId="0" applyFont="1" applyBorder="1" applyAlignment="1">
      <alignment horizontal="left" vertical="center"/>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36" xfId="0" applyFont="1" applyBorder="1" applyAlignment="1">
      <alignment horizontal="left" vertical="top" wrapText="1"/>
    </xf>
    <xf numFmtId="0" fontId="59" fillId="48" borderId="39" xfId="0" applyFont="1" applyFill="1" applyBorder="1" applyAlignment="1">
      <alignment horizontal="center" vertical="center" wrapText="1"/>
    </xf>
    <xf numFmtId="0" fontId="59" fillId="48" borderId="40" xfId="0" applyFont="1" applyFill="1" applyBorder="1" applyAlignment="1">
      <alignment horizontal="center" vertical="center" wrapText="1"/>
    </xf>
    <xf numFmtId="0" fontId="59" fillId="48" borderId="41" xfId="0" applyFont="1" applyFill="1" applyBorder="1" applyAlignment="1">
      <alignment horizontal="center" vertical="center" wrapText="1"/>
    </xf>
    <xf numFmtId="0" fontId="53" fillId="0" borderId="33" xfId="0" applyFont="1" applyBorder="1" applyAlignment="1">
      <alignment horizontal="center" vertical="center" wrapText="1"/>
    </xf>
    <xf numFmtId="0" fontId="53" fillId="0" borderId="0" xfId="0" applyFont="1" applyAlignment="1">
      <alignment horizontal="center" vertical="center" wrapText="1"/>
    </xf>
    <xf numFmtId="0" fontId="53" fillId="0" borderId="37" xfId="0" applyFont="1" applyBorder="1" applyAlignment="1">
      <alignment horizontal="center" vertical="center" wrapText="1"/>
    </xf>
    <xf numFmtId="166" fontId="51" fillId="0" borderId="40" xfId="0" applyNumberFormat="1" applyFont="1" applyBorder="1" applyAlignment="1">
      <alignment horizontal="center"/>
    </xf>
    <xf numFmtId="166" fontId="51" fillId="0" borderId="41" xfId="0" applyNumberFormat="1" applyFont="1" applyBorder="1" applyAlignment="1">
      <alignment horizontal="center"/>
    </xf>
    <xf numFmtId="0" fontId="85" fillId="34" borderId="39" xfId="0" applyFont="1" applyFill="1" applyBorder="1" applyAlignment="1">
      <alignment horizontal="center"/>
    </xf>
    <xf numFmtId="0" fontId="85" fillId="34" borderId="41" xfId="0" applyFont="1" applyFill="1" applyBorder="1" applyAlignment="1">
      <alignment horizontal="center"/>
    </xf>
    <xf numFmtId="0" fontId="59" fillId="39" borderId="39" xfId="0" applyFont="1" applyFill="1" applyBorder="1" applyAlignment="1">
      <alignment horizontal="center"/>
    </xf>
    <xf numFmtId="0" fontId="59" fillId="39" borderId="40" xfId="0" applyFont="1" applyFill="1" applyBorder="1" applyAlignment="1">
      <alignment horizontal="center"/>
    </xf>
    <xf numFmtId="0" fontId="59" fillId="39" borderId="41" xfId="0" applyFont="1" applyFill="1" applyBorder="1" applyAlignment="1">
      <alignment horizontal="center"/>
    </xf>
    <xf numFmtId="0" fontId="53" fillId="34" borderId="39" xfId="0" applyFont="1" applyFill="1" applyBorder="1" applyAlignment="1">
      <alignment horizontal="center"/>
    </xf>
    <xf numFmtId="0" fontId="53" fillId="34" borderId="40" xfId="0" applyFont="1" applyFill="1" applyBorder="1" applyAlignment="1">
      <alignment horizontal="center"/>
    </xf>
    <xf numFmtId="0" fontId="53" fillId="34" borderId="41" xfId="0" applyFont="1" applyFill="1" applyBorder="1" applyAlignment="1">
      <alignment horizontal="center"/>
    </xf>
    <xf numFmtId="0" fontId="59" fillId="34" borderId="39" xfId="0" applyFont="1" applyFill="1" applyBorder="1" applyAlignment="1">
      <alignment horizontal="center"/>
    </xf>
    <xf numFmtId="0" fontId="59" fillId="34" borderId="40" xfId="0" applyFont="1" applyFill="1" applyBorder="1" applyAlignment="1">
      <alignment horizontal="center"/>
    </xf>
    <xf numFmtId="0" fontId="59" fillId="34" borderId="41" xfId="0" applyFont="1" applyFill="1" applyBorder="1" applyAlignment="1">
      <alignment horizontal="center"/>
    </xf>
    <xf numFmtId="0" fontId="53" fillId="2" borderId="34" xfId="0" applyFont="1" applyFill="1" applyBorder="1" applyAlignment="1">
      <alignment horizontal="center" vertical="center"/>
    </xf>
    <xf numFmtId="0" fontId="53" fillId="2" borderId="35" xfId="0" applyFont="1" applyFill="1" applyBorder="1" applyAlignment="1">
      <alignment horizontal="center" vertical="center"/>
    </xf>
    <xf numFmtId="0" fontId="53" fillId="2" borderId="36" xfId="0" applyFont="1" applyFill="1" applyBorder="1" applyAlignment="1">
      <alignment horizontal="center" vertical="center"/>
    </xf>
    <xf numFmtId="0" fontId="53" fillId="2" borderId="30" xfId="0" applyFont="1" applyFill="1" applyBorder="1" applyAlignment="1">
      <alignment horizontal="center" vertical="center"/>
    </xf>
    <xf numFmtId="0" fontId="53" fillId="2" borderId="31" xfId="0" applyFont="1" applyFill="1" applyBorder="1" applyAlignment="1">
      <alignment horizontal="center" vertical="center"/>
    </xf>
    <xf numFmtId="0" fontId="53" fillId="2" borderId="32" xfId="0" applyFont="1" applyFill="1" applyBorder="1" applyAlignment="1">
      <alignment horizontal="center" vertical="center"/>
    </xf>
    <xf numFmtId="3" fontId="51" fillId="45" borderId="39" xfId="0" applyNumberFormat="1" applyFont="1" applyFill="1" applyBorder="1" applyAlignment="1" applyProtection="1">
      <alignment horizontal="center"/>
      <protection locked="0"/>
    </xf>
    <xf numFmtId="3" fontId="51" fillId="45" borderId="40" xfId="0" applyNumberFormat="1" applyFont="1" applyFill="1" applyBorder="1" applyAlignment="1" applyProtection="1">
      <alignment horizontal="center"/>
      <protection locked="0"/>
    </xf>
    <xf numFmtId="3" fontId="51" fillId="45" borderId="41" xfId="0" applyNumberFormat="1" applyFont="1" applyFill="1" applyBorder="1" applyAlignment="1" applyProtection="1">
      <alignment horizontal="center"/>
      <protection locked="0"/>
    </xf>
    <xf numFmtId="0" fontId="98" fillId="34" borderId="39" xfId="0" applyFont="1" applyFill="1" applyBorder="1" applyAlignment="1">
      <alignment horizontal="center"/>
    </xf>
    <xf numFmtId="0" fontId="98" fillId="34" borderId="41" xfId="0" applyFont="1" applyFill="1" applyBorder="1" applyAlignment="1">
      <alignment horizontal="center"/>
    </xf>
    <xf numFmtId="0" fontId="85" fillId="51" borderId="39" xfId="0" applyFont="1" applyFill="1" applyBorder="1" applyAlignment="1" applyProtection="1">
      <alignment horizontal="center" vertical="center" wrapText="1"/>
      <protection locked="0"/>
    </xf>
    <xf numFmtId="0" fontId="85" fillId="51" borderId="40" xfId="0" applyFont="1" applyFill="1" applyBorder="1" applyAlignment="1" applyProtection="1">
      <alignment horizontal="center" vertical="center" wrapText="1"/>
      <protection locked="0"/>
    </xf>
    <xf numFmtId="0" fontId="85" fillId="51" borderId="41" xfId="0" applyFont="1" applyFill="1" applyBorder="1" applyAlignment="1" applyProtection="1">
      <alignment horizontal="center" vertical="center" wrapText="1"/>
      <protection locked="0"/>
    </xf>
    <xf numFmtId="0" fontId="59" fillId="0" borderId="0" xfId="0" applyFont="1" applyAlignment="1">
      <alignment horizontal="left"/>
    </xf>
    <xf numFmtId="0" fontId="59" fillId="10" borderId="39" xfId="0" applyFont="1" applyFill="1" applyBorder="1" applyAlignment="1" applyProtection="1">
      <alignment horizontal="center" vertical="center"/>
      <protection locked="0"/>
    </xf>
    <xf numFmtId="0" fontId="59" fillId="10" borderId="40" xfId="0" applyFont="1" applyFill="1" applyBorder="1" applyAlignment="1" applyProtection="1">
      <alignment horizontal="center" vertical="center"/>
      <protection locked="0"/>
    </xf>
    <xf numFmtId="0" fontId="59" fillId="0" borderId="0" xfId="0" applyFont="1" applyAlignment="1">
      <alignment horizontal="center" vertical="center"/>
    </xf>
    <xf numFmtId="0" fontId="59" fillId="43" borderId="39" xfId="0" applyFont="1" applyFill="1" applyBorder="1" applyAlignment="1">
      <alignment horizontal="center" vertical="center" wrapText="1"/>
    </xf>
    <xf numFmtId="0" fontId="59" fillId="43" borderId="40" xfId="0" applyFont="1" applyFill="1" applyBorder="1" applyAlignment="1">
      <alignment horizontal="center" vertical="center" wrapText="1"/>
    </xf>
    <xf numFmtId="0" fontId="59" fillId="43" borderId="41" xfId="0" applyFont="1" applyFill="1" applyBorder="1" applyAlignment="1">
      <alignment horizontal="center" vertical="center" wrapText="1"/>
    </xf>
    <xf numFmtId="0" fontId="85" fillId="34" borderId="56" xfId="0" applyFont="1" applyFill="1" applyBorder="1" applyAlignment="1">
      <alignment horizontal="center" vertical="center"/>
    </xf>
    <xf numFmtId="0" fontId="85" fillId="34" borderId="55" xfId="0" applyFont="1" applyFill="1" applyBorder="1" applyAlignment="1">
      <alignment horizontal="center" vertical="center"/>
    </xf>
    <xf numFmtId="0" fontId="85" fillId="34" borderId="77" xfId="0" applyFont="1" applyFill="1" applyBorder="1" applyAlignment="1">
      <alignment horizontal="center" vertical="center"/>
    </xf>
    <xf numFmtId="0" fontId="85" fillId="34" borderId="78" xfId="0" applyFont="1" applyFill="1" applyBorder="1" applyAlignment="1">
      <alignment horizontal="center" vertical="center"/>
    </xf>
    <xf numFmtId="0" fontId="59" fillId="10" borderId="39" xfId="0" applyFont="1" applyFill="1" applyBorder="1" applyAlignment="1">
      <alignment horizontal="center" vertical="center"/>
    </xf>
    <xf numFmtId="0" fontId="59" fillId="10" borderId="40" xfId="0" applyFont="1" applyFill="1" applyBorder="1" applyAlignment="1">
      <alignment horizontal="center" vertical="center"/>
    </xf>
    <xf numFmtId="0" fontId="59" fillId="10" borderId="41" xfId="0" applyFont="1" applyFill="1" applyBorder="1" applyAlignment="1" applyProtection="1">
      <alignment horizontal="center" vertical="center"/>
      <protection locked="0"/>
    </xf>
    <xf numFmtId="0" fontId="85" fillId="34" borderId="24" xfId="0" applyFont="1" applyFill="1" applyBorder="1" applyAlignment="1">
      <alignment horizontal="center" vertical="center"/>
    </xf>
    <xf numFmtId="0" fontId="85" fillId="34" borderId="25" xfId="0" applyFont="1" applyFill="1" applyBorder="1" applyAlignment="1">
      <alignment horizontal="center" vertical="center"/>
    </xf>
    <xf numFmtId="0" fontId="85" fillId="34" borderId="39" xfId="0" applyFont="1" applyFill="1" applyBorder="1" applyAlignment="1">
      <alignment horizontal="center" vertical="center"/>
    </xf>
    <xf numFmtId="0" fontId="85" fillId="34" borderId="41" xfId="0" applyFont="1" applyFill="1" applyBorder="1" applyAlignment="1">
      <alignment horizontal="center" vertical="center"/>
    </xf>
    <xf numFmtId="0" fontId="84" fillId="0" borderId="0" xfId="0" applyFont="1" applyAlignment="1">
      <alignment horizontal="center" vertical="center"/>
    </xf>
    <xf numFmtId="0" fontId="53" fillId="0" borderId="33" xfId="0" applyFont="1" applyBorder="1" applyAlignment="1">
      <alignment horizontal="left" vertical="top" wrapText="1"/>
    </xf>
    <xf numFmtId="0" fontId="53" fillId="0" borderId="0" xfId="0" applyFont="1" applyAlignment="1">
      <alignment horizontal="left" vertical="top" wrapText="1"/>
    </xf>
    <xf numFmtId="0" fontId="53" fillId="0" borderId="37" xfId="0" applyFont="1" applyBorder="1" applyAlignment="1">
      <alignment horizontal="left" vertical="top" wrapText="1"/>
    </xf>
    <xf numFmtId="0" fontId="53" fillId="0" borderId="30" xfId="0" applyFont="1" applyBorder="1" applyAlignment="1">
      <alignment horizontal="left" vertical="top" wrapText="1"/>
    </xf>
    <xf numFmtId="0" fontId="53" fillId="0" borderId="31" xfId="0" applyFont="1" applyBorder="1" applyAlignment="1">
      <alignment horizontal="left" vertical="top" wrapText="1"/>
    </xf>
    <xf numFmtId="0" fontId="53" fillId="0" borderId="32" xfId="0" applyFont="1" applyBorder="1" applyAlignment="1">
      <alignment horizontal="left" vertical="top" wrapText="1"/>
    </xf>
    <xf numFmtId="0" fontId="85" fillId="43" borderId="39" xfId="0" applyFont="1" applyFill="1" applyBorder="1" applyAlignment="1">
      <alignment horizontal="center" vertical="center" wrapText="1"/>
    </xf>
    <xf numFmtId="0" fontId="85" fillId="43" borderId="40" xfId="0" applyFont="1" applyFill="1" applyBorder="1" applyAlignment="1">
      <alignment horizontal="center" vertical="center" wrapText="1"/>
    </xf>
    <xf numFmtId="0" fontId="85" fillId="43" borderId="41" xfId="0" applyFont="1" applyFill="1" applyBorder="1" applyAlignment="1">
      <alignment horizontal="center" vertical="center" wrapText="1"/>
    </xf>
    <xf numFmtId="0" fontId="85" fillId="34" borderId="16" xfId="0" applyFont="1" applyFill="1" applyBorder="1" applyAlignment="1">
      <alignment horizontal="center" vertical="center"/>
    </xf>
    <xf numFmtId="0" fontId="85" fillId="34" borderId="17" xfId="0" applyFont="1" applyFill="1" applyBorder="1" applyAlignment="1">
      <alignment horizontal="center" vertical="center"/>
    </xf>
    <xf numFmtId="0" fontId="53" fillId="0" borderId="39" xfId="0" applyFont="1" applyBorder="1" applyAlignment="1">
      <alignment horizontal="center"/>
    </xf>
    <xf numFmtId="0" fontId="53" fillId="0" borderId="40" xfId="0" applyFont="1" applyBorder="1" applyAlignment="1">
      <alignment horizontal="center"/>
    </xf>
    <xf numFmtId="0" fontId="53" fillId="0" borderId="41" xfId="0" applyFont="1" applyBorder="1" applyAlignment="1">
      <alignment horizontal="center"/>
    </xf>
    <xf numFmtId="0" fontId="61" fillId="38" borderId="39" xfId="0" applyFont="1" applyFill="1" applyBorder="1" applyAlignment="1" applyProtection="1">
      <alignment horizontal="center" vertical="center"/>
      <protection locked="0"/>
    </xf>
    <xf numFmtId="0" fontId="61" fillId="38" borderId="40" xfId="0" applyFont="1" applyFill="1" applyBorder="1" applyAlignment="1" applyProtection="1">
      <alignment horizontal="center" vertical="center"/>
      <protection locked="0"/>
    </xf>
    <xf numFmtId="0" fontId="61" fillId="38" borderId="41" xfId="0" applyFont="1" applyFill="1" applyBorder="1" applyAlignment="1" applyProtection="1">
      <alignment horizontal="center" vertical="center"/>
      <protection locked="0"/>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3" fillId="28" borderId="34" xfId="0" applyFont="1" applyFill="1" applyBorder="1" applyAlignment="1">
      <alignment horizontal="center" wrapText="1"/>
    </xf>
    <xf numFmtId="0" fontId="3" fillId="28" borderId="35" xfId="0" applyFont="1" applyFill="1" applyBorder="1" applyAlignment="1">
      <alignment horizontal="center" wrapText="1"/>
    </xf>
    <xf numFmtId="0" fontId="3" fillId="28" borderId="36" xfId="0" applyFont="1" applyFill="1" applyBorder="1" applyAlignment="1">
      <alignment horizontal="center" wrapText="1"/>
    </xf>
    <xf numFmtId="0" fontId="3" fillId="28" borderId="39" xfId="0" applyFont="1" applyFill="1" applyBorder="1" applyAlignment="1">
      <alignment horizontal="center" wrapText="1"/>
    </xf>
    <xf numFmtId="0" fontId="3" fillId="28" borderId="41" xfId="0" applyFont="1" applyFill="1" applyBorder="1" applyAlignment="1">
      <alignment horizontal="center" wrapText="1"/>
    </xf>
    <xf numFmtId="0" fontId="3" fillId="34" borderId="39" xfId="0" applyFont="1" applyFill="1" applyBorder="1" applyAlignment="1">
      <alignment horizontal="center"/>
    </xf>
    <xf numFmtId="0" fontId="3" fillId="34" borderId="40" xfId="0" applyFont="1" applyFill="1" applyBorder="1" applyAlignment="1">
      <alignment horizontal="center"/>
    </xf>
    <xf numFmtId="0" fontId="3" fillId="34" borderId="41" xfId="0" applyFont="1" applyFill="1" applyBorder="1" applyAlignment="1">
      <alignment horizontal="center"/>
    </xf>
    <xf numFmtId="0" fontId="3" fillId="0" borderId="0" xfId="0" applyFont="1" applyAlignment="1">
      <alignment horizontal="center"/>
    </xf>
    <xf numFmtId="0" fontId="0" fillId="0" borderId="34" xfId="0" applyBorder="1" applyAlignment="1">
      <alignment horizontal="left"/>
    </xf>
    <xf numFmtId="0" fontId="0" fillId="0" borderId="36" xfId="0" applyBorder="1" applyAlignment="1">
      <alignment horizontal="left"/>
    </xf>
    <xf numFmtId="0" fontId="0" fillId="0" borderId="30" xfId="0" applyBorder="1" applyAlignment="1">
      <alignment horizontal="left"/>
    </xf>
    <xf numFmtId="0" fontId="0" fillId="0" borderId="32" xfId="0" applyBorder="1" applyAlignment="1">
      <alignment horizontal="left"/>
    </xf>
    <xf numFmtId="0" fontId="0" fillId="0" borderId="33" xfId="0" applyBorder="1" applyAlignment="1">
      <alignment horizontal="left" wrapText="1"/>
    </xf>
    <xf numFmtId="0" fontId="0" fillId="0" borderId="0" xfId="0" applyAlignment="1">
      <alignment horizontal="left" wrapText="1"/>
    </xf>
    <xf numFmtId="0" fontId="0" fillId="0" borderId="37"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3" fillId="34" borderId="39" xfId="0" applyFont="1" applyFill="1" applyBorder="1" applyAlignment="1">
      <alignment horizontal="center" wrapText="1"/>
    </xf>
    <xf numFmtId="0" fontId="0" fillId="0" borderId="34" xfId="0"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3" fillId="28" borderId="39" xfId="0" applyFont="1" applyFill="1" applyBorder="1" applyAlignment="1">
      <alignment horizontal="center"/>
    </xf>
    <xf numFmtId="0" fontId="3" fillId="28" borderId="41" xfId="0" applyFont="1" applyFill="1" applyBorder="1" applyAlignment="1">
      <alignment horizontal="center"/>
    </xf>
    <xf numFmtId="0" fontId="3" fillId="28" borderId="40" xfId="0" applyFont="1" applyFill="1" applyBorder="1" applyAlignment="1">
      <alignment horizontal="center" wrapText="1"/>
    </xf>
    <xf numFmtId="0" fontId="0" fillId="0" borderId="31" xfId="0" applyBorder="1" applyAlignment="1">
      <alignment horizontal="center"/>
    </xf>
    <xf numFmtId="0" fontId="3" fillId="28" borderId="34" xfId="0" applyFont="1" applyFill="1" applyBorder="1" applyAlignment="1">
      <alignment horizontal="center"/>
    </xf>
    <xf numFmtId="0" fontId="3" fillId="28" borderId="36" xfId="0" applyFont="1" applyFill="1" applyBorder="1" applyAlignment="1">
      <alignment horizontal="center"/>
    </xf>
    <xf numFmtId="0" fontId="3" fillId="28" borderId="34" xfId="0" applyFont="1" applyFill="1" applyBorder="1" applyAlignment="1">
      <alignment horizontal="center" vertical="center"/>
    </xf>
    <xf numFmtId="0" fontId="0" fillId="28" borderId="35" xfId="0" applyFill="1" applyBorder="1" applyAlignment="1">
      <alignment horizontal="center" vertical="center"/>
    </xf>
    <xf numFmtId="0" fontId="0" fillId="28" borderId="36" xfId="0" applyFill="1" applyBorder="1" applyAlignment="1">
      <alignment horizontal="center" vertical="center"/>
    </xf>
    <xf numFmtId="0" fontId="3" fillId="28" borderId="34" xfId="0" applyFont="1" applyFill="1" applyBorder="1" applyAlignment="1">
      <alignment horizontal="center" vertical="center" wrapText="1"/>
    </xf>
    <xf numFmtId="0" fontId="3" fillId="28" borderId="35" xfId="0" applyFont="1" applyFill="1" applyBorder="1" applyAlignment="1">
      <alignment horizontal="center" vertical="center" wrapText="1"/>
    </xf>
    <xf numFmtId="0" fontId="3" fillId="28" borderId="36" xfId="0" applyFont="1" applyFill="1" applyBorder="1" applyAlignment="1">
      <alignment horizontal="center" vertical="center" wrapText="1"/>
    </xf>
    <xf numFmtId="0" fontId="3"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30" xfId="0" applyBorder="1" applyAlignment="1">
      <alignment horizontal="center"/>
    </xf>
    <xf numFmtId="0" fontId="0" fillId="0" borderId="32" xfId="0" applyBorder="1" applyAlignment="1">
      <alignment horizontal="center"/>
    </xf>
    <xf numFmtId="0" fontId="46" fillId="43" borderId="35" xfId="0" applyFont="1" applyFill="1" applyBorder="1" applyAlignment="1">
      <alignment horizontal="center"/>
    </xf>
    <xf numFmtId="0" fontId="46" fillId="43" borderId="36" xfId="0" applyFont="1" applyFill="1" applyBorder="1" applyAlignment="1">
      <alignment horizontal="center"/>
    </xf>
    <xf numFmtId="0" fontId="0" fillId="0" borderId="30" xfId="0" applyBorder="1"/>
    <xf numFmtId="0" fontId="0" fillId="0" borderId="31" xfId="0" applyBorder="1"/>
    <xf numFmtId="0" fontId="0" fillId="0" borderId="32" xfId="0" applyBorder="1"/>
  </cellXfs>
  <cellStyles count="1478">
    <cellStyle name="Bad 2" xfId="1476" xr:uid="{A0AF1E50-A86C-8F42-9780-7C39424E2971}"/>
    <cellStyle name="Comma" xfId="1" builtinId="3"/>
    <cellStyle name="Currency" xfId="1473"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4" builtinId="8"/>
    <cellStyle name="Neutral 2" xfId="1477" xr:uid="{1952054B-21F8-404B-90FC-18AD6C564242}"/>
    <cellStyle name="Normal" xfId="0" builtinId="0"/>
    <cellStyle name="Normal_10. Lighting" xfId="1475" xr:uid="{DDE19811-09B5-2145-9B44-412D5DB60EF5}"/>
    <cellStyle name="Percent" xfId="30" builtinId="5"/>
  </cellStyles>
  <dxfs count="1536">
    <dxf>
      <font>
        <strike val="0"/>
        <outline val="0"/>
        <shadow val="0"/>
        <u val="none"/>
        <vertAlign val="baseline"/>
        <sz val="12"/>
        <color auto="1"/>
        <name val="Calibri"/>
        <scheme val="minor"/>
      </font>
      <fill>
        <patternFill patternType="solid">
          <fgColor indexed="64"/>
          <bgColor rgb="FFFFFF0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outline="0">
        <left style="medium">
          <color indexed="64"/>
        </left>
        <right style="medium">
          <color indexed="64"/>
        </right>
        <top style="medium">
          <color indexed="64"/>
        </top>
        <bottom style="medium">
          <color indexed="64"/>
        </bottom>
      </border>
    </dxf>
    <dxf>
      <border outline="0">
        <bottom style="thin">
          <color theme="6"/>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167" formatCode="0.0000"/>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strike val="0"/>
        <outline val="0"/>
        <shadow val="0"/>
        <u val="none"/>
        <vertAlign val="baseline"/>
        <sz val="12"/>
        <color auto="1"/>
        <name val="Calibri"/>
        <scheme val="minor"/>
      </font>
      <numFmt numFmtId="2" formatCode="0.00"/>
      <fill>
        <patternFill patternType="solid">
          <fgColor indexed="64"/>
          <bgColor theme="0"/>
        </patternFill>
      </fill>
      <alignment horizont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0"/>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fill>
        <patternFill patternType="solid">
          <fgColor indexed="64"/>
          <bgColor theme="0"/>
        </patternFill>
      </fill>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numFmt numFmtId="30" formatCode="@"/>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vertAlign val="baseli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0"/>
        </patternFill>
      </fill>
    </dxf>
    <dxf>
      <font>
        <strike val="0"/>
        <outline val="0"/>
        <shadow val="0"/>
        <u val="none"/>
        <sz val="12"/>
        <color auto="1"/>
        <name val="Calibri"/>
        <scheme val="minor"/>
      </font>
      <fill>
        <patternFill patternType="solid">
          <fgColor indexed="64"/>
          <bgColor theme="8" tint="0.79998168889431442"/>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sz val="12"/>
        <color auto="1"/>
        <name val="Calibri"/>
        <scheme val="minor"/>
      </font>
    </dxf>
    <dxf>
      <border outline="0">
        <bottom style="thin">
          <color theme="6"/>
        </bottom>
      </border>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0"/>
        </patternFill>
      </fill>
      <alignment horizontal="center" vertical="center" textRotation="0"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8" tint="0.79998168889431442"/>
        </patternFill>
      </fill>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fill>
        <patternFill patternType="solid">
          <fgColor indexed="64"/>
          <bgColor theme="8" tint="0.59999389629810485"/>
        </patternFill>
      </fill>
    </dxf>
    <dxf>
      <fill>
        <patternFill patternType="solid">
          <fgColor indexed="64"/>
          <bgColor theme="0"/>
        </patternFill>
      </fill>
      <alignment horizontal="center"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1"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8" tint="0.79998168889431442"/>
        </patternFill>
      </fill>
      <alignment horizontal="center" vertical="bottom" textRotation="0" wrapText="0" indent="0" justifyLastLine="0" shrinkToFit="0" readingOrder="0"/>
    </dxf>
    <dxf>
      <fill>
        <patternFill patternType="solid">
          <fgColor indexed="64"/>
          <bgColor theme="0"/>
        </patternFill>
      </fill>
    </dxf>
    <dxf>
      <font>
        <strike val="0"/>
        <outline val="0"/>
        <shadow val="0"/>
        <u val="none"/>
        <vertAlign val="baseline"/>
        <sz val="12"/>
        <color auto="1"/>
        <name val="Calibri"/>
        <scheme val="minor"/>
      </font>
      <fill>
        <patternFill>
          <fgColor indexed="64"/>
          <bgColor theme="8" tint="0.59999389629810485"/>
        </patternFill>
      </fill>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 formatCode="#\ ?/?"/>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7" formatCode="#\ ?/?"/>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border>
    </dxf>
    <dxf>
      <font>
        <b/>
        <i val="0"/>
        <strike val="0"/>
        <condense val="0"/>
        <extend val="0"/>
        <outline val="0"/>
        <shadow val="0"/>
        <u val="none"/>
        <vertAlign val="baseline"/>
        <sz val="10"/>
        <color auto="1"/>
        <name val="Arial"/>
        <family val="2"/>
        <scheme val="none"/>
      </font>
      <fill>
        <patternFill patternType="solid">
          <fgColor indexed="64"/>
          <bgColor theme="6"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auto="1"/>
        </left>
        <right style="thin">
          <color indexed="64"/>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9"/>
          <bgColor theme="5" tint="0.59999389629810485"/>
        </patternFill>
      </fill>
      <alignment horizontal="center" vertical="center" textRotation="0" wrapText="1" indent="0" justifyLastLine="0" shrinkToFit="0" readingOrder="0"/>
      <border>
        <left style="thin">
          <color indexed="64"/>
        </left>
        <right style="thin">
          <color indexed="64"/>
        </right>
      </border>
      <protection locked="0" hidden="0"/>
    </dxf>
    <dxf>
      <fill>
        <patternFill patternType="solid">
          <fgColor indexed="9"/>
          <bgColor theme="5" tint="0.59999389629810485"/>
        </patternFill>
      </fill>
      <alignment horizontal="center" vertical="center" textRotation="0" wrapText="1" indent="0" justifyLastLine="0" shrinkToFit="0" readingOrder="0"/>
      <border>
        <left style="thin">
          <color indexed="64"/>
        </left>
        <right style="thin">
          <color indexed="64"/>
        </right>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9"/>
          <bgColor theme="5" tint="0.59999389629810485"/>
        </patternFill>
      </fill>
      <alignment horizontal="center" vertical="center" textRotation="0" wrapText="1" indent="0" justifyLastLine="0" shrinkToFit="0" readingOrder="0"/>
      <border>
        <left style="thin">
          <color indexed="64"/>
        </left>
        <right style="thin">
          <color indexed="64"/>
        </right>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style="thin">
          <color auto="1"/>
        </right>
        <top style="thin">
          <color auto="1"/>
        </top>
        <bottom style="thin">
          <color auto="1"/>
        </bottom>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fill>
        <patternFill>
          <bgColor theme="0"/>
        </patternFill>
      </fill>
      <alignment horizontal="center" vertical="center" textRotation="0" wrapText="1" indent="0" justifyLastLine="0" shrinkToFit="0" readingOrder="0"/>
      <protection locked="0" hidden="0"/>
    </dxf>
    <dxf>
      <border>
        <bottom style="medium">
          <color indexed="64"/>
        </bottom>
      </border>
    </dxf>
    <dxf>
      <fill>
        <patternFill patternType="solid">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strike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Arial"/>
        <family val="2"/>
        <scheme val="none"/>
      </font>
      <numFmt numFmtId="0" formatCode="General"/>
      <fill>
        <patternFill patternType="solid">
          <fgColor rgb="FF000000"/>
          <bgColor rgb="FFFFFFFF"/>
        </patternFill>
      </fill>
      <alignment horizontal="center" vertical="center" textRotation="0" wrapText="0" indent="0" justifyLastLine="0" shrinkToFit="0" readingOrder="0"/>
      <border diagonalUp="0" diagonalDown="0">
        <left/>
        <right/>
        <top/>
        <bottom style="thin">
          <color indexed="64"/>
        </bottom>
        <vertical/>
        <horizontal/>
      </border>
    </dxf>
    <dxf>
      <font>
        <strike val="0"/>
        <outline val="0"/>
        <shadow val="0"/>
        <u val="none"/>
        <vertAlign val="baseline"/>
        <sz val="10"/>
        <color auto="1"/>
        <name val="Arial"/>
        <family val="2"/>
        <scheme val="none"/>
      </font>
      <numFmt numFmtId="0" formatCode="General"/>
      <fill>
        <patternFill patternType="solid">
          <fgColor rgb="FF000000"/>
          <bgColor rgb="FFFFFFFF"/>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protection locked="0" hidden="0"/>
    </dxf>
    <dxf>
      <font>
        <strike val="0"/>
        <outline val="0"/>
        <shadow val="0"/>
        <u val="none"/>
        <vertAlign val="baseline"/>
        <sz val="10"/>
        <color auto="1"/>
        <name val="Arial"/>
        <scheme val="none"/>
      </font>
      <fill>
        <patternFill patternType="solid">
          <fgColor rgb="FF000000"/>
          <bgColor theme="5"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border>
        <bottom style="medium">
          <color rgb="FF000000"/>
        </bottom>
      </border>
    </dxf>
    <dxf>
      <font>
        <strike val="0"/>
        <outline val="0"/>
        <shadow val="0"/>
        <u val="none"/>
        <vertAlign val="baseline"/>
        <sz val="10"/>
        <color auto="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right style="medium">
          <color indexed="64"/>
        </right>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numFmt numFmtId="166" formatCode="0.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0.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5"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medium">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6" formatCode="0.0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0.000"/>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0" hidden="0"/>
    </dxf>
    <dxf>
      <font>
        <b val="0"/>
        <i val="0"/>
        <strike val="0"/>
        <condense val="0"/>
        <extend val="0"/>
        <outline val="0"/>
        <shadow val="0"/>
        <u val="none"/>
        <vertAlign val="baseline"/>
        <sz val="10"/>
        <color auto="1"/>
        <name val="Arial"/>
        <scheme val="none"/>
      </font>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auto="1"/>
        </right>
        <top style="medium">
          <color auto="1"/>
        </top>
        <bottom style="medium">
          <color auto="1"/>
        </bottom>
        <vertical style="thin">
          <color auto="1"/>
        </vertical>
        <horizontal style="medium">
          <color auto="1"/>
        </horizontal>
      </border>
      <protection locked="0" hidden="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border>
        <bottom style="medium">
          <color rgb="FF000000"/>
        </bottom>
      </border>
    </dxf>
    <dxf>
      <font>
        <b val="0"/>
        <i val="0"/>
        <strike val="0"/>
        <condense val="0"/>
        <extend val="0"/>
        <outline val="0"/>
        <shadow val="0"/>
        <u val="none"/>
        <vertAlign val="baseline"/>
        <sz val="10"/>
        <color auto="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strike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166" formatCode="0.00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Arial"/>
        <family val="2"/>
        <scheme val="none"/>
      </font>
      <numFmt numFmtId="166" formatCode="0.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color auto="1"/>
        <name val="Arial"/>
        <scheme val="none"/>
      </font>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numFmt numFmtId="3"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Arial"/>
        <scheme val="none"/>
      </font>
      <numFmt numFmtId="0" formatCode="General"/>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color auto="1"/>
        <name val="Arial"/>
        <scheme val="none"/>
      </font>
      <fill>
        <patternFill patternType="solid">
          <fgColor rgb="FF000000"/>
          <bgColor rgb="FFFFFFFF"/>
        </patternFill>
      </fill>
      <alignment horizontal="center" vertical="center" textRotation="0" wrapText="0" indent="0" justifyLastLine="0" shrinkToFit="0" readingOrder="0"/>
    </dxf>
    <dxf>
      <border>
        <bottom style="medium">
          <color rgb="FF000000"/>
        </bottom>
      </border>
    </dxf>
    <dxf>
      <font>
        <strike val="0"/>
        <outline val="0"/>
        <shadow val="0"/>
        <u val="none"/>
        <vertAlign val="baseline"/>
        <sz val="10"/>
        <color auto="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medium">
          <color auto="1"/>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border>
    </dxf>
    <dxf>
      <font>
        <b/>
        <i val="0"/>
        <strike val="0"/>
        <condense val="0"/>
        <extend val="0"/>
        <outline val="0"/>
        <shadow val="0"/>
        <u val="none"/>
        <vertAlign val="baseline"/>
        <sz val="10"/>
        <color auto="1"/>
        <name val="Arial"/>
        <family val="2"/>
        <scheme val="none"/>
      </font>
      <fill>
        <patternFill patternType="solid">
          <fgColor indexed="64"/>
          <bgColor theme="6"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fill>
        <patternFill>
          <bgColor theme="0"/>
        </patternFill>
      </fill>
      <alignment horizontal="center"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9"/>
          <bgColor theme="5" tint="0.59999389629810485"/>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auto="1"/>
        <name val="Arial"/>
        <family val="2"/>
        <scheme val="none"/>
      </font>
      <numFmt numFmtId="2" formatCode="0.00"/>
      <fill>
        <patternFill patternType="solid">
          <fgColor indexed="9"/>
          <bgColor theme="5"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border>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8"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9"/>
          <bgColor theme="5" tint="0.79998168889431442"/>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border>
    </dxf>
    <dxf>
      <font>
        <color rgb="FF9C0006"/>
      </font>
      <fill>
        <patternFill>
          <bgColor rgb="FFFFC7CE"/>
        </patternFill>
      </fill>
    </dxf>
    <dxf>
      <font>
        <strike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7" tint="0.79998168889431442"/>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9"/>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8"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alignment horizontal="center" vertical="center" textRotation="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9"/>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wrapText="0" indent="0" justifyLastLine="0" shrinkToFit="0" readingOrder="0"/>
      <border diagonalUp="0" diagonalDown="0" outline="0">
        <left/>
        <right style="thin">
          <color indexed="64"/>
        </right>
        <top style="thin">
          <color auto="1"/>
        </top>
        <bottom style="thin">
          <color auto="1"/>
        </bottom>
      </border>
      <protection locked="1"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0"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wrapText="0"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right style="thin">
          <color auto="1"/>
        </right>
        <top style="thin">
          <color auto="1"/>
        </top>
        <bottom style="thin">
          <color auto="1"/>
        </bottom>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indent="0" justifyLastLine="0" shrinkToFit="0" readingOrder="0"/>
      <border diagonalUp="0" diagonalDown="0" outline="0">
        <left style="thin">
          <color auto="1"/>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solid">
          <fgColor indexed="9"/>
          <bgColor theme="0"/>
        </patternFill>
      </fill>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9"/>
          <bgColor theme="0"/>
        </patternFill>
      </fill>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9"/>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numFmt numFmtId="2" formatCode="0.00"/>
      <fill>
        <patternFill patternType="solid">
          <fgColor indexed="9"/>
          <bgColor theme="0"/>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auto="1"/>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59999389629810485"/>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7" tint="0.79998168889431442"/>
        </patternFill>
      </fill>
      <alignment horizontal="center" vertical="center" textRotation="0" indent="0" justifyLastLine="0" shrinkToFit="0" readingOrder="0"/>
      <border diagonalUp="0" diagonalDown="0" outline="0">
        <left/>
        <right style="thin">
          <color auto="1"/>
        </right>
        <top style="thin">
          <color indexed="64"/>
        </top>
        <bottom style="thin">
          <color indexed="64"/>
        </bottom>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scheme val="none"/>
      </font>
      <alignment horizontal="center" vertical="center" textRotation="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1" hidden="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9"/>
          <bgColor theme="8"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protection locked="0" hidden="0"/>
    </dxf>
    <dxf>
      <font>
        <b val="0"/>
        <i/>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strike val="0"/>
        <condense val="0"/>
        <extend val="0"/>
        <outline val="0"/>
        <shadow val="0"/>
        <u val="none"/>
        <vertAlign val="baseline"/>
        <sz val="10"/>
        <color auto="1"/>
        <name val="Arial"/>
        <scheme val="none"/>
      </font>
      <fill>
        <patternFill patternType="solid">
          <fgColor indexed="9"/>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alignment horizontal="center" vertical="center" textRotation="0" indent="0" justifyLastLine="0" shrinkToFit="0" readingOrder="0"/>
      <protection locked="0" hidden="0"/>
    </dxf>
    <dxf>
      <border>
        <bottom style="medium">
          <color indexed="64"/>
        </bottom>
      </border>
    </dxf>
    <dxf>
      <font>
        <strike val="0"/>
        <outline val="0"/>
        <shadow val="0"/>
        <u val="none"/>
        <vertAlign val="baseline"/>
        <sz val="10"/>
        <name val="Arial"/>
        <scheme val="none"/>
      </font>
      <fill>
        <patternFill patternType="solid">
          <fgColor indexed="64"/>
          <bgColor theme="6" tint="0.59999389629810485"/>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scheme val="none"/>
      </font>
      <numFmt numFmtId="2" formatCode="0.00"/>
      <fill>
        <patternFill patternType="solid">
          <fgColor indexed="64"/>
          <bgColor theme="8"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numFmt numFmtId="165" formatCode="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65" formatCode="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5" tint="0.79998168889431442"/>
        </patternFill>
      </fill>
      <alignment horizontal="center" vertical="center"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auto="1"/>
        <name val="Arial"/>
        <scheme val="none"/>
      </font>
      <fill>
        <patternFill>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1" hidden="0"/>
    </dxf>
    <dxf>
      <font>
        <b/>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medium">
          <color indexed="64"/>
        </right>
        <top style="thin">
          <color indexed="64"/>
        </top>
        <bottom style="thin">
          <color indexed="64"/>
        </bottom>
      </border>
      <protection locked="1" hidden="0"/>
    </dxf>
    <dxf>
      <fill>
        <patternFill patternType="none">
          <fgColor indexed="64"/>
          <bgColor auto="1"/>
        </patternFill>
      </fill>
      <alignment horizontal="center" vertical="center" textRotation="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1" hidden="0"/>
    </dxf>
    <dxf>
      <font>
        <b/>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medium">
          <color indexed="64"/>
        </right>
        <top style="thin">
          <color auto="1"/>
        </top>
        <bottom/>
      </border>
      <protection locked="1"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medium">
          <color indexed="64"/>
        </right>
        <top style="thin">
          <color indexed="64"/>
        </top>
        <bottom style="thin">
          <color indexed="64"/>
        </bottom>
      </border>
      <protection locked="1" hidden="0"/>
    </dxf>
    <dxf>
      <fill>
        <patternFill patternType="none">
          <fgColor indexed="64"/>
          <bgColor auto="1"/>
        </patternFill>
      </fill>
      <alignment horizontal="center" vertical="center" textRotation="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medium">
          <color indexed="64"/>
        </left>
        <right/>
        <top style="thin">
          <color auto="1"/>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5999938962981048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0" formatCode="General"/>
      <fill>
        <patternFill>
          <bgColor theme="7"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7" tint="0.79998168889431442"/>
        </patternFill>
      </fill>
    </dxf>
    <dxf>
      <numFmt numFmtId="0" formatCode="General"/>
      <fill>
        <patternFill>
          <bgColor theme="7" tint="0.79998168889431442"/>
        </patternFill>
      </fill>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Wingdings"/>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Wingdings"/>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Wingdings"/>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Wingdings"/>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bottom" textRotation="0" wrapText="1"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theme="1"/>
        <name val="Arial"/>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border diagonalUp="0" diagonalDown="0" outline="0">
        <left/>
        <right style="thin">
          <color indexed="64"/>
        </right>
        <top style="thin">
          <color auto="1"/>
        </top>
        <bottom style="thin">
          <color auto="1"/>
        </bottom>
      </border>
    </dxf>
    <dxf>
      <border outline="0">
        <left style="thin">
          <color indexed="64"/>
        </left>
      </border>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theme="1"/>
        <name val="Arial"/>
        <family val="2"/>
        <scheme val="none"/>
      </font>
      <alignmen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i val="0"/>
        <strike val="0"/>
        <condense val="0"/>
        <extend val="0"/>
        <outline val="0"/>
        <shadow val="0"/>
        <u val="none"/>
        <vertAlign val="baseline"/>
        <sz val="10"/>
        <color theme="1"/>
        <name val="Arial"/>
        <family val="2"/>
        <scheme val="none"/>
      </font>
    </dxf>
    <dxf>
      <fill>
        <patternFill>
          <bgColor rgb="FFFFC000"/>
        </patternFill>
      </fill>
      <border>
        <left style="thin">
          <color auto="1"/>
        </left>
        <right style="thin">
          <color auto="1"/>
        </right>
        <top style="thin">
          <color auto="1"/>
        </top>
        <bottom style="thin">
          <color auto="1"/>
        </bottom>
      </border>
    </dxf>
    <dxf>
      <fill>
        <patternFill>
          <bgColor theme="5" tint="0.59996337778862885"/>
        </patternFill>
      </fill>
    </dxf>
    <dxf>
      <fill>
        <patternFill>
          <bgColor theme="6" tint="0.39994506668294322"/>
        </patternFill>
      </fill>
    </dxf>
    <dxf>
      <fill>
        <patternFill patternType="none">
          <bgColor auto="1"/>
        </patternFill>
      </fill>
      <border diagonalUp="0" diagonalDown="0">
        <left/>
        <right/>
        <top/>
        <bottom/>
        <vertical/>
        <horizontal/>
      </border>
    </dxf>
  </dxfs>
  <tableStyles count="2" defaultTableStyle="TableStyleMedium9" defaultPivotStyle="PivotStyleMedium4">
    <tableStyle name="Table Style 1" pivot="0" count="1" xr9:uid="{958F9A90-F941-7D45-B256-17EC2511061E}">
      <tableStyleElement type="wholeTable" dxfId="1535"/>
    </tableStyle>
    <tableStyle name="Table Style 2" pivot="0" count="0" xr9:uid="{95884D01-E368-1B44-B6B0-4605EF5D3D6D}"/>
  </tableStyles>
  <colors>
    <mruColors>
      <color rgb="FFFFE471"/>
      <color rgb="FFFF9933"/>
      <color rgb="FFFFCC00"/>
      <color rgb="FF006600"/>
      <color rgb="FFFDB751"/>
      <color rgb="FFFDA35F"/>
      <color rgb="FF005856"/>
      <color rgb="FFFDDD69"/>
      <color rgb="FFFF9966"/>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tmp"/><Relationship Id="rId1" Type="http://schemas.openxmlformats.org/officeDocument/2006/relationships/image" Target="../media/image3.tmp"/></Relationships>
</file>

<file path=xl/drawings/_rels/drawing9.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4</xdr:col>
      <xdr:colOff>28574</xdr:colOff>
      <xdr:row>24</xdr:row>
      <xdr:rowOff>368715</xdr:rowOff>
    </xdr:from>
    <xdr:to>
      <xdr:col>8</xdr:col>
      <xdr:colOff>516254</xdr:colOff>
      <xdr:row>24</xdr:row>
      <xdr:rowOff>968374</xdr:rowOff>
    </xdr:to>
    <xdr:pic>
      <xdr:nvPicPr>
        <xdr:cNvPr id="2" name="Picture 1" descr="Screen Shot 2014-02-21 at 11.10.59 A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4624" y="18237615"/>
          <a:ext cx="5031105" cy="5920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104775</xdr:colOff>
      <xdr:row>0</xdr:row>
      <xdr:rowOff>171450</xdr:rowOff>
    </xdr:from>
    <xdr:to>
      <xdr:col>3</xdr:col>
      <xdr:colOff>781323</xdr:colOff>
      <xdr:row>2</xdr:row>
      <xdr:rowOff>53524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71450"/>
          <a:ext cx="1952898" cy="13146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2921458</xdr:colOff>
      <xdr:row>0</xdr:row>
      <xdr:rowOff>76200</xdr:rowOff>
    </xdr:from>
    <xdr:to>
      <xdr:col>2</xdr:col>
      <xdr:colOff>1724026</xdr:colOff>
      <xdr:row>0</xdr:row>
      <xdr:rowOff>1102180</xdr:rowOff>
    </xdr:to>
    <xdr:sp macro="" textlink="">
      <xdr:nvSpPr>
        <xdr:cNvPr id="2" name="TextBox 1">
          <a:extLst>
            <a:ext uri="{FF2B5EF4-FFF2-40B4-BE49-F238E27FC236}">
              <a16:creationId xmlns:a16="http://schemas.microsoft.com/office/drawing/2014/main" id="{66548F58-9E57-3F49-8DB6-BFEA991E31D5}"/>
            </a:ext>
          </a:extLst>
        </xdr:cNvPr>
        <xdr:cNvSpPr txBox="1"/>
      </xdr:nvSpPr>
      <xdr:spPr>
        <a:xfrm>
          <a:off x="2921458" y="76200"/>
          <a:ext cx="4835068" cy="1025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To refresh</a:t>
          </a:r>
          <a:r>
            <a:rPr lang="en-US" sz="1000" baseline="0"/>
            <a:t> report:</a:t>
          </a:r>
        </a:p>
        <a:p>
          <a:r>
            <a:rPr lang="en-US" sz="1000" b="1" baseline="0"/>
            <a:t>1a. Rater Design Checklist</a:t>
          </a:r>
        </a:p>
        <a:p>
          <a:r>
            <a:rPr lang="en-US" sz="1000" baseline="0"/>
            <a:t>Right-click in cell A7 &gt;Filter &gt; Reapply</a:t>
          </a:r>
        </a:p>
        <a:p>
          <a:endParaRPr lang="en-US" sz="1000" baseline="0"/>
        </a:p>
        <a:p>
          <a:r>
            <a:rPr lang="en-US" sz="1000" b="1" baseline="0">
              <a:solidFill>
                <a:schemeClr val="dk1"/>
              </a:solidFill>
              <a:effectLst/>
              <a:latin typeface="+mn-lt"/>
              <a:ea typeface="+mn-ea"/>
              <a:cs typeface="+mn-cs"/>
            </a:rPr>
            <a:t>1b. Rater Field Checklist</a:t>
          </a:r>
          <a:endParaRPr lang="en-US" sz="1000">
            <a:effectLst/>
          </a:endParaRPr>
        </a:p>
        <a:p>
          <a:r>
            <a:rPr lang="en-US" sz="1000" baseline="0">
              <a:solidFill>
                <a:schemeClr val="dk1"/>
              </a:solidFill>
              <a:effectLst/>
              <a:latin typeface="+mn-lt"/>
              <a:ea typeface="+mn-ea"/>
              <a:cs typeface="+mn-cs"/>
            </a:rPr>
            <a:t>Right-click in cell A72 &gt;Filter &gt; Reapply</a:t>
          </a:r>
          <a:endParaRPr lang="en-US" sz="1000">
            <a:effectLst/>
          </a:endParaRPr>
        </a:p>
      </xdr:txBody>
    </xdr:sp>
    <xdr:clientData/>
  </xdr:twoCellAnchor>
  <xdr:twoCellAnchor editAs="oneCell">
    <xdr:from>
      <xdr:col>0</xdr:col>
      <xdr:colOff>5113567</xdr:colOff>
      <xdr:row>0</xdr:row>
      <xdr:rowOff>163285</xdr:rowOff>
    </xdr:from>
    <xdr:to>
      <xdr:col>2</xdr:col>
      <xdr:colOff>1458687</xdr:colOff>
      <xdr:row>0</xdr:row>
      <xdr:rowOff>1010491</xdr:rowOff>
    </xdr:to>
    <xdr:pic>
      <xdr:nvPicPr>
        <xdr:cNvPr id="3" name="Picture 2">
          <a:extLst>
            <a:ext uri="{FF2B5EF4-FFF2-40B4-BE49-F238E27FC236}">
              <a16:creationId xmlns:a16="http://schemas.microsoft.com/office/drawing/2014/main" id="{6F7A4786-EE2F-EF44-8DE8-3917B6E92F10}"/>
            </a:ext>
          </a:extLst>
        </xdr:cNvPr>
        <xdr:cNvPicPr>
          <a:picLocks noChangeAspect="1"/>
        </xdr:cNvPicPr>
      </xdr:nvPicPr>
      <xdr:blipFill>
        <a:blip xmlns:r="http://schemas.openxmlformats.org/officeDocument/2006/relationships" r:embed="rId1"/>
        <a:stretch>
          <a:fillRect/>
        </a:stretch>
      </xdr:blipFill>
      <xdr:spPr>
        <a:xfrm>
          <a:off x="5113567" y="163285"/>
          <a:ext cx="2377620" cy="847206"/>
        </a:xfrm>
        <a:prstGeom prst="rect">
          <a:avLst/>
        </a:prstGeom>
        <a:ln>
          <a:solidFill>
            <a:sysClr val="windowText" lastClr="000000"/>
          </a:solid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1947544</xdr:colOff>
      <xdr:row>0</xdr:row>
      <xdr:rowOff>138520</xdr:rowOff>
    </xdr:from>
    <xdr:to>
      <xdr:col>2</xdr:col>
      <xdr:colOff>3319144</xdr:colOff>
      <xdr:row>0</xdr:row>
      <xdr:rowOff>1052920</xdr:rowOff>
    </xdr:to>
    <xdr:sp macro="[2]!CLEAR_Path" textlink="">
      <xdr:nvSpPr>
        <xdr:cNvPr id="2" name="Rectangle 1">
          <a:extLst>
            <a:ext uri="{FF2B5EF4-FFF2-40B4-BE49-F238E27FC236}">
              <a16:creationId xmlns:a16="http://schemas.microsoft.com/office/drawing/2014/main" id="{366F5052-31FC-EC4F-8EED-A38E0403D925}"/>
            </a:ext>
          </a:extLst>
        </xdr:cNvPr>
        <xdr:cNvSpPr/>
      </xdr:nvSpPr>
      <xdr:spPr>
        <a:xfrm>
          <a:off x="3395344" y="138520"/>
          <a:ext cx="1371600" cy="9144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baseline="0"/>
            <a:t>SELECT PATHWAY</a:t>
          </a:r>
        </a:p>
        <a:p>
          <a:pPr algn="ctr"/>
          <a:r>
            <a:rPr lang="en-US" sz="1050" b="1" baseline="0"/>
            <a:t>(Reset to All Paths)</a:t>
          </a:r>
          <a:endParaRPr lang="en-US" sz="1050" b="1"/>
        </a:p>
      </xdr:txBody>
    </xdr:sp>
    <xdr:clientData/>
  </xdr:twoCellAnchor>
  <xdr:twoCellAnchor>
    <xdr:from>
      <xdr:col>2</xdr:col>
      <xdr:colOff>6569621</xdr:colOff>
      <xdr:row>0</xdr:row>
      <xdr:rowOff>90892</xdr:rowOff>
    </xdr:from>
    <xdr:to>
      <xdr:col>3</xdr:col>
      <xdr:colOff>1054374</xdr:colOff>
      <xdr:row>0</xdr:row>
      <xdr:rowOff>365212</xdr:rowOff>
    </xdr:to>
    <xdr:sp macro="[2]!CLEAR_AllFields_Fields" textlink="">
      <xdr:nvSpPr>
        <xdr:cNvPr id="3" name="Rectangle 2">
          <a:extLst>
            <a:ext uri="{FF2B5EF4-FFF2-40B4-BE49-F238E27FC236}">
              <a16:creationId xmlns:a16="http://schemas.microsoft.com/office/drawing/2014/main" id="{353360F5-3684-9148-AA36-C2FDD33C6DEE}"/>
            </a:ext>
          </a:extLst>
        </xdr:cNvPr>
        <xdr:cNvSpPr/>
      </xdr:nvSpPr>
      <xdr:spPr>
        <a:xfrm>
          <a:off x="8017421" y="90892"/>
          <a:ext cx="1736453" cy="274320"/>
        </a:xfrm>
        <a:prstGeom prst="rect">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baseline="0"/>
            <a:t>(Reset to All Available)</a:t>
          </a:r>
          <a:endParaRPr lang="en-US" sz="1200" b="1"/>
        </a:p>
      </xdr:txBody>
    </xdr:sp>
    <xdr:clientData/>
  </xdr:twoCellAnchor>
  <xdr:twoCellAnchor>
    <xdr:from>
      <xdr:col>1</xdr:col>
      <xdr:colOff>41275</xdr:colOff>
      <xdr:row>0</xdr:row>
      <xdr:rowOff>90892</xdr:rowOff>
    </xdr:from>
    <xdr:to>
      <xdr:col>2</xdr:col>
      <xdr:colOff>136072</xdr:colOff>
      <xdr:row>0</xdr:row>
      <xdr:rowOff>1096732</xdr:rowOff>
    </xdr:to>
    <xdr:sp macro="[2]!ResetDesignChecklist" textlink="">
      <xdr:nvSpPr>
        <xdr:cNvPr id="4" name="Rectangle 3">
          <a:extLst>
            <a:ext uri="{FF2B5EF4-FFF2-40B4-BE49-F238E27FC236}">
              <a16:creationId xmlns:a16="http://schemas.microsoft.com/office/drawing/2014/main" id="{FEE8E906-A97F-A646-959D-470E113C040C}"/>
            </a:ext>
          </a:extLst>
        </xdr:cNvPr>
        <xdr:cNvSpPr/>
      </xdr:nvSpPr>
      <xdr:spPr>
        <a:xfrm>
          <a:off x="244475" y="90892"/>
          <a:ext cx="1339397" cy="100584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baseline="0"/>
            <a:t>Rater Design Checklist</a:t>
          </a:r>
        </a:p>
        <a:p>
          <a:pPr algn="ctr"/>
          <a:r>
            <a:rPr lang="en-US" sz="1400" b="1" baseline="0"/>
            <a:t>(Reset All)</a:t>
          </a:r>
          <a:endParaRPr lang="en-US" sz="1200" b="1"/>
        </a:p>
      </xdr:txBody>
    </xdr:sp>
    <xdr:clientData/>
  </xdr:twoCellAnchor>
  <xdr:twoCellAnchor>
    <xdr:from>
      <xdr:col>2</xdr:col>
      <xdr:colOff>3400883</xdr:colOff>
      <xdr:row>0</xdr:row>
      <xdr:rowOff>822412</xdr:rowOff>
    </xdr:from>
    <xdr:to>
      <xdr:col>2</xdr:col>
      <xdr:colOff>4955363</xdr:colOff>
      <xdr:row>0</xdr:row>
      <xdr:rowOff>1096732</xdr:rowOff>
    </xdr:to>
    <xdr:sp macro="[2]!ERI_Path" textlink="">
      <xdr:nvSpPr>
        <xdr:cNvPr id="5" name="Rectangle 4">
          <a:extLst>
            <a:ext uri="{FF2B5EF4-FFF2-40B4-BE49-F238E27FC236}">
              <a16:creationId xmlns:a16="http://schemas.microsoft.com/office/drawing/2014/main" id="{B3D8C262-B6EE-EB49-B89C-DEB1CE0E84AF}"/>
            </a:ext>
          </a:extLst>
        </xdr:cNvPr>
        <xdr:cNvSpPr/>
      </xdr:nvSpPr>
      <xdr:spPr>
        <a:xfrm>
          <a:off x="4848683" y="822412"/>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ERI</a:t>
          </a:r>
        </a:p>
      </xdr:txBody>
    </xdr:sp>
    <xdr:clientData/>
  </xdr:twoCellAnchor>
  <xdr:twoCellAnchor>
    <xdr:from>
      <xdr:col>2</xdr:col>
      <xdr:colOff>3405873</xdr:colOff>
      <xdr:row>0</xdr:row>
      <xdr:rowOff>456652</xdr:rowOff>
    </xdr:from>
    <xdr:to>
      <xdr:col>2</xdr:col>
      <xdr:colOff>4960353</xdr:colOff>
      <xdr:row>0</xdr:row>
      <xdr:rowOff>730972</xdr:rowOff>
    </xdr:to>
    <xdr:sp macro="[2]!ASHRAE_Path" textlink="">
      <xdr:nvSpPr>
        <xdr:cNvPr id="6" name="Rectangle 5">
          <a:extLst>
            <a:ext uri="{FF2B5EF4-FFF2-40B4-BE49-F238E27FC236}">
              <a16:creationId xmlns:a16="http://schemas.microsoft.com/office/drawing/2014/main" id="{80E96B4E-49A0-5B47-B448-407F87E5CAD8}"/>
            </a:ext>
          </a:extLst>
        </xdr:cNvPr>
        <xdr:cNvSpPr/>
      </xdr:nvSpPr>
      <xdr:spPr>
        <a:xfrm>
          <a:off x="4853673" y="456652"/>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ASHRAE</a:t>
          </a:r>
        </a:p>
      </xdr:txBody>
    </xdr:sp>
    <xdr:clientData/>
  </xdr:twoCellAnchor>
  <xdr:twoCellAnchor>
    <xdr:from>
      <xdr:col>2</xdr:col>
      <xdr:colOff>3407686</xdr:colOff>
      <xdr:row>0</xdr:row>
      <xdr:rowOff>90892</xdr:rowOff>
    </xdr:from>
    <xdr:to>
      <xdr:col>2</xdr:col>
      <xdr:colOff>4962166</xdr:colOff>
      <xdr:row>0</xdr:row>
      <xdr:rowOff>365212</xdr:rowOff>
    </xdr:to>
    <xdr:sp macro="[2]!Prescriptive_Path" textlink="">
      <xdr:nvSpPr>
        <xdr:cNvPr id="7" name="Rectangle 6">
          <a:extLst>
            <a:ext uri="{FF2B5EF4-FFF2-40B4-BE49-F238E27FC236}">
              <a16:creationId xmlns:a16="http://schemas.microsoft.com/office/drawing/2014/main" id="{C1DD1905-90C5-384E-9518-A7C640F54E58}"/>
            </a:ext>
          </a:extLst>
        </xdr:cNvPr>
        <xdr:cNvSpPr/>
      </xdr:nvSpPr>
      <xdr:spPr>
        <a:xfrm>
          <a:off x="4855486" y="90892"/>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Prescriptive</a:t>
          </a:r>
        </a:p>
      </xdr:txBody>
    </xdr:sp>
    <xdr:clientData/>
  </xdr:twoCellAnchor>
  <xdr:twoCellAnchor>
    <xdr:from>
      <xdr:col>2</xdr:col>
      <xdr:colOff>6569621</xdr:colOff>
      <xdr:row>0</xdr:row>
      <xdr:rowOff>456652</xdr:rowOff>
    </xdr:from>
    <xdr:to>
      <xdr:col>3</xdr:col>
      <xdr:colOff>1054374</xdr:colOff>
      <xdr:row>0</xdr:row>
      <xdr:rowOff>730972</xdr:rowOff>
    </xdr:to>
    <xdr:sp macro="[2]!RequiredOnly_Fields" textlink="">
      <xdr:nvSpPr>
        <xdr:cNvPr id="8" name="Rectangle 7">
          <a:extLst>
            <a:ext uri="{FF2B5EF4-FFF2-40B4-BE49-F238E27FC236}">
              <a16:creationId xmlns:a16="http://schemas.microsoft.com/office/drawing/2014/main" id="{C65ACF52-9972-1A47-AD33-312615B20FB7}"/>
            </a:ext>
          </a:extLst>
        </xdr:cNvPr>
        <xdr:cNvSpPr/>
      </xdr:nvSpPr>
      <xdr:spPr>
        <a:xfrm>
          <a:off x="8017421" y="456652"/>
          <a:ext cx="1736453" cy="274320"/>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baseline="0"/>
            <a:t>Required Only</a:t>
          </a:r>
          <a:endParaRPr lang="en-US" sz="1800" b="1"/>
        </a:p>
      </xdr:txBody>
    </xdr:sp>
    <xdr:clientData/>
  </xdr:twoCellAnchor>
  <xdr:twoCellAnchor>
    <xdr:from>
      <xdr:col>2</xdr:col>
      <xdr:colOff>6569621</xdr:colOff>
      <xdr:row>0</xdr:row>
      <xdr:rowOff>822412</xdr:rowOff>
    </xdr:from>
    <xdr:to>
      <xdr:col>3</xdr:col>
      <xdr:colOff>1054374</xdr:colOff>
      <xdr:row>0</xdr:row>
      <xdr:rowOff>1096732</xdr:rowOff>
    </xdr:to>
    <xdr:sp macro="[2]!OptionalOnly_Fields" textlink="">
      <xdr:nvSpPr>
        <xdr:cNvPr id="9" name="Rectangle 8">
          <a:extLst>
            <a:ext uri="{FF2B5EF4-FFF2-40B4-BE49-F238E27FC236}">
              <a16:creationId xmlns:a16="http://schemas.microsoft.com/office/drawing/2014/main" id="{B03B52E6-9830-A249-8D1A-DC02A64339F9}"/>
            </a:ext>
          </a:extLst>
        </xdr:cNvPr>
        <xdr:cNvSpPr/>
      </xdr:nvSpPr>
      <xdr:spPr>
        <a:xfrm>
          <a:off x="8017421" y="822412"/>
          <a:ext cx="1736453" cy="274320"/>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baseline="0"/>
            <a:t>Optional Only</a:t>
          </a:r>
          <a:endParaRPr lang="en-US" sz="1800" b="1"/>
        </a:p>
      </xdr:txBody>
    </xdr:sp>
    <xdr:clientData/>
  </xdr:twoCellAnchor>
  <xdr:twoCellAnchor>
    <xdr:from>
      <xdr:col>2</xdr:col>
      <xdr:colOff>217711</xdr:colOff>
      <xdr:row>0</xdr:row>
      <xdr:rowOff>90892</xdr:rowOff>
    </xdr:from>
    <xdr:to>
      <xdr:col>2</xdr:col>
      <xdr:colOff>1866352</xdr:colOff>
      <xdr:row>0</xdr:row>
      <xdr:rowOff>548092</xdr:rowOff>
    </xdr:to>
    <xdr:sp macro="[2]!ShowFootnotes_Design" textlink="">
      <xdr:nvSpPr>
        <xdr:cNvPr id="10" name="Rectangle 9">
          <a:extLst>
            <a:ext uri="{FF2B5EF4-FFF2-40B4-BE49-F238E27FC236}">
              <a16:creationId xmlns:a16="http://schemas.microsoft.com/office/drawing/2014/main" id="{40E25366-462C-AA47-B615-179F658690E4}"/>
            </a:ext>
          </a:extLst>
        </xdr:cNvPr>
        <xdr:cNvSpPr/>
      </xdr:nvSpPr>
      <xdr:spPr>
        <a:xfrm>
          <a:off x="1665511" y="90892"/>
          <a:ext cx="1648641" cy="457200"/>
        </a:xfrm>
        <a:prstGeom prst="rect">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t>Show all Footnotes</a:t>
          </a:r>
          <a:endParaRPr lang="en-US" sz="1400" b="1"/>
        </a:p>
      </xdr:txBody>
    </xdr:sp>
    <xdr:clientData/>
  </xdr:twoCellAnchor>
  <xdr:twoCellAnchor>
    <xdr:from>
      <xdr:col>2</xdr:col>
      <xdr:colOff>217711</xdr:colOff>
      <xdr:row>0</xdr:row>
      <xdr:rowOff>639532</xdr:rowOff>
    </xdr:from>
    <xdr:to>
      <xdr:col>2</xdr:col>
      <xdr:colOff>1866352</xdr:colOff>
      <xdr:row>0</xdr:row>
      <xdr:rowOff>1096732</xdr:rowOff>
    </xdr:to>
    <xdr:sp macro="[2]!HideFootnotes_Design" textlink="">
      <xdr:nvSpPr>
        <xdr:cNvPr id="11" name="Rectangle 10">
          <a:extLst>
            <a:ext uri="{FF2B5EF4-FFF2-40B4-BE49-F238E27FC236}">
              <a16:creationId xmlns:a16="http://schemas.microsoft.com/office/drawing/2014/main" id="{120CC027-9579-FA48-89D0-7B3F145B9E25}"/>
            </a:ext>
          </a:extLst>
        </xdr:cNvPr>
        <xdr:cNvSpPr/>
      </xdr:nvSpPr>
      <xdr:spPr>
        <a:xfrm>
          <a:off x="1665511" y="639532"/>
          <a:ext cx="1648641" cy="457200"/>
        </a:xfrm>
        <a:prstGeom prst="rect">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t>Hide all Footnotes</a:t>
          </a:r>
          <a:endParaRPr lang="en-US" sz="1400" b="1"/>
        </a:p>
      </xdr:txBody>
    </xdr:sp>
    <xdr:clientData/>
  </xdr:twoCellAnchor>
  <xdr:twoCellAnchor>
    <xdr:from>
      <xdr:col>2</xdr:col>
      <xdr:colOff>5901662</xdr:colOff>
      <xdr:row>15</xdr:row>
      <xdr:rowOff>347850</xdr:rowOff>
    </xdr:from>
    <xdr:to>
      <xdr:col>2</xdr:col>
      <xdr:colOff>7231588</xdr:colOff>
      <xdr:row>15</xdr:row>
      <xdr:rowOff>612133</xdr:rowOff>
    </xdr:to>
    <xdr:sp macro="[2]!Design_DisplayFootnotes_211" textlink="">
      <xdr:nvSpPr>
        <xdr:cNvPr id="12" name="Rectangle 11">
          <a:extLst>
            <a:ext uri="{FF2B5EF4-FFF2-40B4-BE49-F238E27FC236}">
              <a16:creationId xmlns:a16="http://schemas.microsoft.com/office/drawing/2014/main" id="{3476CDB9-BDF3-9E47-8B0A-081E7DE10A30}"/>
            </a:ext>
          </a:extLst>
        </xdr:cNvPr>
        <xdr:cNvSpPr/>
      </xdr:nvSpPr>
      <xdr:spPr>
        <a:xfrm>
          <a:off x="7349462" y="588505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16</xdr:row>
      <xdr:rowOff>18143</xdr:rowOff>
    </xdr:from>
    <xdr:to>
      <xdr:col>2</xdr:col>
      <xdr:colOff>7231588</xdr:colOff>
      <xdr:row>16</xdr:row>
      <xdr:rowOff>282426</xdr:rowOff>
    </xdr:to>
    <xdr:sp macro="[2]!HideFootnotes_Design" textlink="">
      <xdr:nvSpPr>
        <xdr:cNvPr id="13" name="Rectangle 12">
          <a:extLst>
            <a:ext uri="{FF2B5EF4-FFF2-40B4-BE49-F238E27FC236}">
              <a16:creationId xmlns:a16="http://schemas.microsoft.com/office/drawing/2014/main" id="{2A68F7A5-C8A7-5748-97CA-A3C98BB0E9B0}"/>
            </a:ext>
          </a:extLst>
        </xdr:cNvPr>
        <xdr:cNvSpPr/>
      </xdr:nvSpPr>
      <xdr:spPr>
        <a:xfrm>
          <a:off x="7349462" y="6248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17</xdr:row>
      <xdr:rowOff>355041</xdr:rowOff>
    </xdr:from>
    <xdr:to>
      <xdr:col>2</xdr:col>
      <xdr:colOff>7231588</xdr:colOff>
      <xdr:row>17</xdr:row>
      <xdr:rowOff>619324</xdr:rowOff>
    </xdr:to>
    <xdr:sp macro="[2]!Design_DisplayFootnotes_212" textlink="">
      <xdr:nvSpPr>
        <xdr:cNvPr id="14" name="Rectangle 13">
          <a:extLst>
            <a:ext uri="{FF2B5EF4-FFF2-40B4-BE49-F238E27FC236}">
              <a16:creationId xmlns:a16="http://schemas.microsoft.com/office/drawing/2014/main" id="{323EF2C7-0A9F-384D-B0AB-A1739F2935B3}"/>
            </a:ext>
          </a:extLst>
        </xdr:cNvPr>
        <xdr:cNvSpPr/>
      </xdr:nvSpPr>
      <xdr:spPr>
        <a:xfrm>
          <a:off x="7349462" y="660344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18</xdr:row>
      <xdr:rowOff>18637</xdr:rowOff>
    </xdr:from>
    <xdr:to>
      <xdr:col>2</xdr:col>
      <xdr:colOff>7231588</xdr:colOff>
      <xdr:row>18</xdr:row>
      <xdr:rowOff>282920</xdr:rowOff>
    </xdr:to>
    <xdr:sp macro="[2]!HideFootnotes_Design" textlink="">
      <xdr:nvSpPr>
        <xdr:cNvPr id="15" name="Rectangle 14">
          <a:extLst>
            <a:ext uri="{FF2B5EF4-FFF2-40B4-BE49-F238E27FC236}">
              <a16:creationId xmlns:a16="http://schemas.microsoft.com/office/drawing/2014/main" id="{C8CE0457-789F-3F4C-BBD6-08C5AFBD798B}"/>
            </a:ext>
          </a:extLst>
        </xdr:cNvPr>
        <xdr:cNvSpPr/>
      </xdr:nvSpPr>
      <xdr:spPr>
        <a:xfrm>
          <a:off x="7349462" y="6959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19</xdr:row>
      <xdr:rowOff>161611</xdr:rowOff>
    </xdr:from>
    <xdr:to>
      <xdr:col>2</xdr:col>
      <xdr:colOff>7231588</xdr:colOff>
      <xdr:row>19</xdr:row>
      <xdr:rowOff>425894</xdr:rowOff>
    </xdr:to>
    <xdr:sp macro="[2]!Design_DisplayFootnotes_22" textlink="">
      <xdr:nvSpPr>
        <xdr:cNvPr id="16" name="Rectangle 15">
          <a:extLst>
            <a:ext uri="{FF2B5EF4-FFF2-40B4-BE49-F238E27FC236}">
              <a16:creationId xmlns:a16="http://schemas.microsoft.com/office/drawing/2014/main" id="{0FCC5BD6-B5D0-FC45-9768-F95E4D43A259}"/>
            </a:ext>
          </a:extLst>
        </xdr:cNvPr>
        <xdr:cNvSpPr/>
      </xdr:nvSpPr>
      <xdr:spPr>
        <a:xfrm>
          <a:off x="7349462" y="712121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20</xdr:row>
      <xdr:rowOff>21568</xdr:rowOff>
    </xdr:from>
    <xdr:to>
      <xdr:col>2</xdr:col>
      <xdr:colOff>7231588</xdr:colOff>
      <xdr:row>20</xdr:row>
      <xdr:rowOff>285851</xdr:rowOff>
    </xdr:to>
    <xdr:sp macro="[2]!HideFootnotes_Design" textlink="">
      <xdr:nvSpPr>
        <xdr:cNvPr id="17" name="Rectangle 16">
          <a:extLst>
            <a:ext uri="{FF2B5EF4-FFF2-40B4-BE49-F238E27FC236}">
              <a16:creationId xmlns:a16="http://schemas.microsoft.com/office/drawing/2014/main" id="{E0337B17-8578-2D4C-8581-E722239F7AB2}"/>
            </a:ext>
          </a:extLst>
        </xdr:cNvPr>
        <xdr:cNvSpPr/>
      </xdr:nvSpPr>
      <xdr:spPr>
        <a:xfrm>
          <a:off x="7349462" y="7454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21</xdr:row>
      <xdr:rowOff>357972</xdr:rowOff>
    </xdr:from>
    <xdr:to>
      <xdr:col>2</xdr:col>
      <xdr:colOff>7231588</xdr:colOff>
      <xdr:row>21</xdr:row>
      <xdr:rowOff>616812</xdr:rowOff>
    </xdr:to>
    <xdr:sp macro="[2]!Design_DisplayFootnotes_221" textlink="">
      <xdr:nvSpPr>
        <xdr:cNvPr id="18" name="Rectangle 17">
          <a:extLst>
            <a:ext uri="{FF2B5EF4-FFF2-40B4-BE49-F238E27FC236}">
              <a16:creationId xmlns:a16="http://schemas.microsoft.com/office/drawing/2014/main" id="{71E0FEA7-E852-0646-8BD8-64DF982BBF8D}"/>
            </a:ext>
          </a:extLst>
        </xdr:cNvPr>
        <xdr:cNvSpPr/>
      </xdr:nvSpPr>
      <xdr:spPr>
        <a:xfrm>
          <a:off x="7349462" y="7812872"/>
          <a:ext cx="1329926" cy="258840"/>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22</xdr:row>
      <xdr:rowOff>17381</xdr:rowOff>
    </xdr:from>
    <xdr:to>
      <xdr:col>2</xdr:col>
      <xdr:colOff>7231588</xdr:colOff>
      <xdr:row>22</xdr:row>
      <xdr:rowOff>281664</xdr:rowOff>
    </xdr:to>
    <xdr:sp macro="[2]!HideFootnotes_Design" textlink="">
      <xdr:nvSpPr>
        <xdr:cNvPr id="19" name="Rectangle 18">
          <a:extLst>
            <a:ext uri="{FF2B5EF4-FFF2-40B4-BE49-F238E27FC236}">
              <a16:creationId xmlns:a16="http://schemas.microsoft.com/office/drawing/2014/main" id="{D6C3C4C9-B478-224F-B9AD-C9543ACEF298}"/>
            </a:ext>
          </a:extLst>
        </xdr:cNvPr>
        <xdr:cNvSpPr/>
      </xdr:nvSpPr>
      <xdr:spPr>
        <a:xfrm>
          <a:off x="7349462" y="8166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23</xdr:row>
      <xdr:rowOff>392307</xdr:rowOff>
    </xdr:from>
    <xdr:to>
      <xdr:col>2</xdr:col>
      <xdr:colOff>7231588</xdr:colOff>
      <xdr:row>23</xdr:row>
      <xdr:rowOff>648339</xdr:rowOff>
    </xdr:to>
    <xdr:sp macro="[2]!Design_DisplayFootnotes_222" textlink="">
      <xdr:nvSpPr>
        <xdr:cNvPr id="20" name="Rectangle 19">
          <a:extLst>
            <a:ext uri="{FF2B5EF4-FFF2-40B4-BE49-F238E27FC236}">
              <a16:creationId xmlns:a16="http://schemas.microsoft.com/office/drawing/2014/main" id="{AE96CC37-4565-1248-89A9-FEA0703ED4CA}"/>
            </a:ext>
          </a:extLst>
        </xdr:cNvPr>
        <xdr:cNvSpPr/>
      </xdr:nvSpPr>
      <xdr:spPr>
        <a:xfrm>
          <a:off x="7349462" y="8558407"/>
          <a:ext cx="1329926" cy="256032"/>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24</xdr:row>
      <xdr:rowOff>17381</xdr:rowOff>
    </xdr:from>
    <xdr:to>
      <xdr:col>2</xdr:col>
      <xdr:colOff>7231588</xdr:colOff>
      <xdr:row>24</xdr:row>
      <xdr:rowOff>281664</xdr:rowOff>
    </xdr:to>
    <xdr:sp macro="[2]!HideFootnotes_Design" textlink="">
      <xdr:nvSpPr>
        <xdr:cNvPr id="21" name="Rectangle 20">
          <a:extLst>
            <a:ext uri="{FF2B5EF4-FFF2-40B4-BE49-F238E27FC236}">
              <a16:creationId xmlns:a16="http://schemas.microsoft.com/office/drawing/2014/main" id="{5601DF6D-6F05-894B-9F86-B8F339252C7A}"/>
            </a:ext>
          </a:extLst>
        </xdr:cNvPr>
        <xdr:cNvSpPr/>
      </xdr:nvSpPr>
      <xdr:spPr>
        <a:xfrm>
          <a:off x="7349462" y="89027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27</xdr:row>
      <xdr:rowOff>383515</xdr:rowOff>
    </xdr:from>
    <xdr:to>
      <xdr:col>2</xdr:col>
      <xdr:colOff>7231588</xdr:colOff>
      <xdr:row>27</xdr:row>
      <xdr:rowOff>647798</xdr:rowOff>
    </xdr:to>
    <xdr:sp macro="[2]!Design_DisplayFootnotes_311" textlink="">
      <xdr:nvSpPr>
        <xdr:cNvPr id="22" name="Rectangle 21">
          <a:extLst>
            <a:ext uri="{FF2B5EF4-FFF2-40B4-BE49-F238E27FC236}">
              <a16:creationId xmlns:a16="http://schemas.microsoft.com/office/drawing/2014/main" id="{BBCDD002-2C46-A449-A83A-C0D3704ADB9A}"/>
            </a:ext>
          </a:extLst>
        </xdr:cNvPr>
        <xdr:cNvSpPr/>
      </xdr:nvSpPr>
      <xdr:spPr>
        <a:xfrm>
          <a:off x="7349462" y="979421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28</xdr:row>
      <xdr:rowOff>17380</xdr:rowOff>
    </xdr:from>
    <xdr:to>
      <xdr:col>2</xdr:col>
      <xdr:colOff>7231588</xdr:colOff>
      <xdr:row>28</xdr:row>
      <xdr:rowOff>281663</xdr:rowOff>
    </xdr:to>
    <xdr:sp macro="[2]!HideFootnotes_Design" textlink="">
      <xdr:nvSpPr>
        <xdr:cNvPr id="23" name="Rectangle 22">
          <a:extLst>
            <a:ext uri="{FF2B5EF4-FFF2-40B4-BE49-F238E27FC236}">
              <a16:creationId xmlns:a16="http://schemas.microsoft.com/office/drawing/2014/main" id="{4248C6B8-4532-F140-B6B4-704E5FE8A5D0}"/>
            </a:ext>
          </a:extLst>
        </xdr:cNvPr>
        <xdr:cNvSpPr/>
      </xdr:nvSpPr>
      <xdr:spPr>
        <a:xfrm>
          <a:off x="7349462" y="10147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33</xdr:row>
      <xdr:rowOff>384768</xdr:rowOff>
    </xdr:from>
    <xdr:to>
      <xdr:col>2</xdr:col>
      <xdr:colOff>7231588</xdr:colOff>
      <xdr:row>33</xdr:row>
      <xdr:rowOff>649051</xdr:rowOff>
    </xdr:to>
    <xdr:sp macro="[2]!Design_DisplayFootnotes_312" textlink="">
      <xdr:nvSpPr>
        <xdr:cNvPr id="24" name="Rectangle 23">
          <a:extLst>
            <a:ext uri="{FF2B5EF4-FFF2-40B4-BE49-F238E27FC236}">
              <a16:creationId xmlns:a16="http://schemas.microsoft.com/office/drawing/2014/main" id="{DC93DA0C-72FF-EE4E-AE50-0274F8217BFE}"/>
            </a:ext>
          </a:extLst>
        </xdr:cNvPr>
        <xdr:cNvSpPr/>
      </xdr:nvSpPr>
      <xdr:spPr>
        <a:xfrm>
          <a:off x="7349462" y="1053206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34</xdr:row>
      <xdr:rowOff>21568</xdr:rowOff>
    </xdr:from>
    <xdr:to>
      <xdr:col>2</xdr:col>
      <xdr:colOff>7231588</xdr:colOff>
      <xdr:row>34</xdr:row>
      <xdr:rowOff>285851</xdr:rowOff>
    </xdr:to>
    <xdr:sp macro="[2]!HideFootnotes_Design" textlink="">
      <xdr:nvSpPr>
        <xdr:cNvPr id="25" name="Rectangle 24">
          <a:extLst>
            <a:ext uri="{FF2B5EF4-FFF2-40B4-BE49-F238E27FC236}">
              <a16:creationId xmlns:a16="http://schemas.microsoft.com/office/drawing/2014/main" id="{DE3C43BA-09F5-0C4B-97DA-587FDCC5B592}"/>
            </a:ext>
          </a:extLst>
        </xdr:cNvPr>
        <xdr:cNvSpPr/>
      </xdr:nvSpPr>
      <xdr:spPr>
        <a:xfrm>
          <a:off x="7349462" y="10883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39</xdr:row>
      <xdr:rowOff>160357</xdr:rowOff>
    </xdr:from>
    <xdr:to>
      <xdr:col>2</xdr:col>
      <xdr:colOff>7231588</xdr:colOff>
      <xdr:row>39</xdr:row>
      <xdr:rowOff>424640</xdr:rowOff>
    </xdr:to>
    <xdr:sp macro="[2]!Design_DisplayFootnotes_32" textlink="">
      <xdr:nvSpPr>
        <xdr:cNvPr id="26" name="Rectangle 25">
          <a:extLst>
            <a:ext uri="{FF2B5EF4-FFF2-40B4-BE49-F238E27FC236}">
              <a16:creationId xmlns:a16="http://schemas.microsoft.com/office/drawing/2014/main" id="{33418D7E-27C2-0D47-AFD7-774ACAF525DB}"/>
            </a:ext>
          </a:extLst>
        </xdr:cNvPr>
        <xdr:cNvSpPr/>
      </xdr:nvSpPr>
      <xdr:spPr>
        <a:xfrm>
          <a:off x="7349462" y="1104425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40</xdr:row>
      <xdr:rowOff>17381</xdr:rowOff>
    </xdr:from>
    <xdr:to>
      <xdr:col>2</xdr:col>
      <xdr:colOff>7231588</xdr:colOff>
      <xdr:row>40</xdr:row>
      <xdr:rowOff>281664</xdr:rowOff>
    </xdr:to>
    <xdr:sp macro="[2]!HideFootnotes_Design" textlink="">
      <xdr:nvSpPr>
        <xdr:cNvPr id="27" name="Rectangle 26">
          <a:extLst>
            <a:ext uri="{FF2B5EF4-FFF2-40B4-BE49-F238E27FC236}">
              <a16:creationId xmlns:a16="http://schemas.microsoft.com/office/drawing/2014/main" id="{F09D1566-82DB-3A41-B6EC-E1442F65DC5A}"/>
            </a:ext>
          </a:extLst>
        </xdr:cNvPr>
        <xdr:cNvSpPr/>
      </xdr:nvSpPr>
      <xdr:spPr>
        <a:xfrm>
          <a:off x="7349462" y="11379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41</xdr:row>
      <xdr:rowOff>384352</xdr:rowOff>
    </xdr:from>
    <xdr:to>
      <xdr:col>2</xdr:col>
      <xdr:colOff>7231588</xdr:colOff>
      <xdr:row>41</xdr:row>
      <xdr:rowOff>648635</xdr:rowOff>
    </xdr:to>
    <xdr:sp macro="[2]!Design_DisplayFootnotes_321" textlink="">
      <xdr:nvSpPr>
        <xdr:cNvPr id="28" name="Rectangle 27">
          <a:extLst>
            <a:ext uri="{FF2B5EF4-FFF2-40B4-BE49-F238E27FC236}">
              <a16:creationId xmlns:a16="http://schemas.microsoft.com/office/drawing/2014/main" id="{6FED0C9F-F10E-3E4A-A358-40D95A6E0DD6}"/>
            </a:ext>
          </a:extLst>
        </xdr:cNvPr>
        <xdr:cNvSpPr/>
      </xdr:nvSpPr>
      <xdr:spPr>
        <a:xfrm>
          <a:off x="7349462" y="1176355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42</xdr:row>
      <xdr:rowOff>21568</xdr:rowOff>
    </xdr:from>
    <xdr:to>
      <xdr:col>2</xdr:col>
      <xdr:colOff>7231588</xdr:colOff>
      <xdr:row>42</xdr:row>
      <xdr:rowOff>285851</xdr:rowOff>
    </xdr:to>
    <xdr:sp macro="[2]!HideFootnotes_Design" textlink="">
      <xdr:nvSpPr>
        <xdr:cNvPr id="29" name="Rectangle 28">
          <a:extLst>
            <a:ext uri="{FF2B5EF4-FFF2-40B4-BE49-F238E27FC236}">
              <a16:creationId xmlns:a16="http://schemas.microsoft.com/office/drawing/2014/main" id="{DBA9D96B-C8E2-274E-8D40-1C8B591975E6}"/>
            </a:ext>
          </a:extLst>
        </xdr:cNvPr>
        <xdr:cNvSpPr/>
      </xdr:nvSpPr>
      <xdr:spPr>
        <a:xfrm>
          <a:off x="7349462" y="12115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47</xdr:row>
      <xdr:rowOff>387701</xdr:rowOff>
    </xdr:from>
    <xdr:to>
      <xdr:col>2</xdr:col>
      <xdr:colOff>7231588</xdr:colOff>
      <xdr:row>47</xdr:row>
      <xdr:rowOff>651984</xdr:rowOff>
    </xdr:to>
    <xdr:sp macro="[2]!Design_DisplayFootnotes_322" textlink="">
      <xdr:nvSpPr>
        <xdr:cNvPr id="30" name="Rectangle 29">
          <a:extLst>
            <a:ext uri="{FF2B5EF4-FFF2-40B4-BE49-F238E27FC236}">
              <a16:creationId xmlns:a16="http://schemas.microsoft.com/office/drawing/2014/main" id="{BBCC6916-BF7C-9C41-80B9-F1195D9FB729}"/>
            </a:ext>
          </a:extLst>
        </xdr:cNvPr>
        <xdr:cNvSpPr/>
      </xdr:nvSpPr>
      <xdr:spPr>
        <a:xfrm>
          <a:off x="7349462" y="1250350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48</xdr:row>
      <xdr:rowOff>21568</xdr:rowOff>
    </xdr:from>
    <xdr:to>
      <xdr:col>2</xdr:col>
      <xdr:colOff>7231588</xdr:colOff>
      <xdr:row>48</xdr:row>
      <xdr:rowOff>285851</xdr:rowOff>
    </xdr:to>
    <xdr:sp macro="[2]!HideFootnotes_Design" textlink="">
      <xdr:nvSpPr>
        <xdr:cNvPr id="31" name="Rectangle 30">
          <a:extLst>
            <a:ext uri="{FF2B5EF4-FFF2-40B4-BE49-F238E27FC236}">
              <a16:creationId xmlns:a16="http://schemas.microsoft.com/office/drawing/2014/main" id="{06CDF103-9F73-1E4F-8D63-5153A9FFAAD4}"/>
            </a:ext>
          </a:extLst>
        </xdr:cNvPr>
        <xdr:cNvSpPr/>
      </xdr:nvSpPr>
      <xdr:spPr>
        <a:xfrm>
          <a:off x="7349462" y="12852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55</xdr:row>
      <xdr:rowOff>21567</xdr:rowOff>
    </xdr:from>
    <xdr:to>
      <xdr:col>2</xdr:col>
      <xdr:colOff>7231588</xdr:colOff>
      <xdr:row>55</xdr:row>
      <xdr:rowOff>285850</xdr:rowOff>
    </xdr:to>
    <xdr:sp macro="[2]!HideFootnotes_Design" textlink="">
      <xdr:nvSpPr>
        <xdr:cNvPr id="32" name="Rectangle 31">
          <a:extLst>
            <a:ext uri="{FF2B5EF4-FFF2-40B4-BE49-F238E27FC236}">
              <a16:creationId xmlns:a16="http://schemas.microsoft.com/office/drawing/2014/main" id="{8315E31D-713E-7848-9282-4750F0B12C9B}"/>
            </a:ext>
          </a:extLst>
        </xdr:cNvPr>
        <xdr:cNvSpPr/>
      </xdr:nvSpPr>
      <xdr:spPr>
        <a:xfrm>
          <a:off x="7349462" y="13652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67</xdr:row>
      <xdr:rowOff>346252</xdr:rowOff>
    </xdr:from>
    <xdr:to>
      <xdr:col>2</xdr:col>
      <xdr:colOff>7231588</xdr:colOff>
      <xdr:row>67</xdr:row>
      <xdr:rowOff>610535</xdr:rowOff>
    </xdr:to>
    <xdr:sp macro="[2]!Design_DisplayFootnotes_4b21" textlink="">
      <xdr:nvSpPr>
        <xdr:cNvPr id="33" name="Rectangle 32">
          <a:extLst>
            <a:ext uri="{FF2B5EF4-FFF2-40B4-BE49-F238E27FC236}">
              <a16:creationId xmlns:a16="http://schemas.microsoft.com/office/drawing/2014/main" id="{A7C7F3E9-72EB-1C41-8517-0BF6EC252675}"/>
            </a:ext>
          </a:extLst>
        </xdr:cNvPr>
        <xdr:cNvSpPr/>
      </xdr:nvSpPr>
      <xdr:spPr>
        <a:xfrm>
          <a:off x="7349462" y="1755475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68</xdr:row>
      <xdr:rowOff>21567</xdr:rowOff>
    </xdr:from>
    <xdr:to>
      <xdr:col>2</xdr:col>
      <xdr:colOff>7231588</xdr:colOff>
      <xdr:row>68</xdr:row>
      <xdr:rowOff>285850</xdr:rowOff>
    </xdr:to>
    <xdr:sp macro="[2]!HideFootnotes_Design" textlink="">
      <xdr:nvSpPr>
        <xdr:cNvPr id="34" name="Rectangle 33">
          <a:extLst>
            <a:ext uri="{FF2B5EF4-FFF2-40B4-BE49-F238E27FC236}">
              <a16:creationId xmlns:a16="http://schemas.microsoft.com/office/drawing/2014/main" id="{BB29314E-DFAD-B445-A403-9CA626BC259E}"/>
            </a:ext>
          </a:extLst>
        </xdr:cNvPr>
        <xdr:cNvSpPr/>
      </xdr:nvSpPr>
      <xdr:spPr>
        <a:xfrm>
          <a:off x="7349462" y="179197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5886111</xdr:colOff>
      <xdr:row>69</xdr:row>
      <xdr:rowOff>813497</xdr:rowOff>
    </xdr:from>
    <xdr:to>
      <xdr:col>2</xdr:col>
      <xdr:colOff>7216037</xdr:colOff>
      <xdr:row>69</xdr:row>
      <xdr:rowOff>1077780</xdr:rowOff>
    </xdr:to>
    <xdr:sp macro="[2]!Design_DisplayFootnotes_4b22" textlink="">
      <xdr:nvSpPr>
        <xdr:cNvPr id="35" name="Rectangle 34">
          <a:extLst>
            <a:ext uri="{FF2B5EF4-FFF2-40B4-BE49-F238E27FC236}">
              <a16:creationId xmlns:a16="http://schemas.microsoft.com/office/drawing/2014/main" id="{19B90CB3-CA21-F349-9E5A-6669B4EFB2C6}"/>
            </a:ext>
          </a:extLst>
        </xdr:cNvPr>
        <xdr:cNvSpPr/>
      </xdr:nvSpPr>
      <xdr:spPr>
        <a:xfrm>
          <a:off x="7333911" y="1873319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70</xdr:row>
      <xdr:rowOff>21567</xdr:rowOff>
    </xdr:from>
    <xdr:to>
      <xdr:col>2</xdr:col>
      <xdr:colOff>7231588</xdr:colOff>
      <xdr:row>70</xdr:row>
      <xdr:rowOff>285850</xdr:rowOff>
    </xdr:to>
    <xdr:sp macro="[2]!HideFootnotes_Design" textlink="">
      <xdr:nvSpPr>
        <xdr:cNvPr id="36" name="Rectangle 35">
          <a:extLst>
            <a:ext uri="{FF2B5EF4-FFF2-40B4-BE49-F238E27FC236}">
              <a16:creationId xmlns:a16="http://schemas.microsoft.com/office/drawing/2014/main" id="{52A8BBAB-1950-AF41-A20F-F63CDC7C435A}"/>
            </a:ext>
          </a:extLst>
        </xdr:cNvPr>
        <xdr:cNvSpPr/>
      </xdr:nvSpPr>
      <xdr:spPr>
        <a:xfrm>
          <a:off x="7349462" y="19075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71</xdr:row>
      <xdr:rowOff>351692</xdr:rowOff>
    </xdr:from>
    <xdr:to>
      <xdr:col>2</xdr:col>
      <xdr:colOff>7231588</xdr:colOff>
      <xdr:row>71</xdr:row>
      <xdr:rowOff>615975</xdr:rowOff>
    </xdr:to>
    <xdr:sp macro="[2]!Design_DisplayFootnotes_4b23" textlink="">
      <xdr:nvSpPr>
        <xdr:cNvPr id="37" name="Rectangle 36">
          <a:extLst>
            <a:ext uri="{FF2B5EF4-FFF2-40B4-BE49-F238E27FC236}">
              <a16:creationId xmlns:a16="http://schemas.microsoft.com/office/drawing/2014/main" id="{1A01EE34-E55D-C648-8773-E6714840C9B1}"/>
            </a:ext>
          </a:extLst>
        </xdr:cNvPr>
        <xdr:cNvSpPr/>
      </xdr:nvSpPr>
      <xdr:spPr>
        <a:xfrm>
          <a:off x="7349462" y="1942709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72</xdr:row>
      <xdr:rowOff>17381</xdr:rowOff>
    </xdr:from>
    <xdr:to>
      <xdr:col>2</xdr:col>
      <xdr:colOff>7231588</xdr:colOff>
      <xdr:row>72</xdr:row>
      <xdr:rowOff>281664</xdr:rowOff>
    </xdr:to>
    <xdr:sp macro="[2]!HideFootnotes_Design" textlink="">
      <xdr:nvSpPr>
        <xdr:cNvPr id="38" name="Rectangle 37">
          <a:extLst>
            <a:ext uri="{FF2B5EF4-FFF2-40B4-BE49-F238E27FC236}">
              <a16:creationId xmlns:a16="http://schemas.microsoft.com/office/drawing/2014/main" id="{09D47CB8-B3DB-BD4B-BE65-1E251538094E}"/>
            </a:ext>
          </a:extLst>
        </xdr:cNvPr>
        <xdr:cNvSpPr/>
      </xdr:nvSpPr>
      <xdr:spPr>
        <a:xfrm>
          <a:off x="7349462" y="19786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77</xdr:row>
      <xdr:rowOff>346252</xdr:rowOff>
    </xdr:from>
    <xdr:to>
      <xdr:col>2</xdr:col>
      <xdr:colOff>7231588</xdr:colOff>
      <xdr:row>77</xdr:row>
      <xdr:rowOff>610535</xdr:rowOff>
    </xdr:to>
    <xdr:sp macro="[2]!Design_DisplayFootnotes_4b26" textlink="">
      <xdr:nvSpPr>
        <xdr:cNvPr id="39" name="Rectangle 38">
          <a:extLst>
            <a:ext uri="{FF2B5EF4-FFF2-40B4-BE49-F238E27FC236}">
              <a16:creationId xmlns:a16="http://schemas.microsoft.com/office/drawing/2014/main" id="{FBD775C6-E7F0-B84B-B515-5039969E6513}"/>
            </a:ext>
          </a:extLst>
        </xdr:cNvPr>
        <xdr:cNvSpPr/>
      </xdr:nvSpPr>
      <xdr:spPr>
        <a:xfrm>
          <a:off x="7349462" y="2144095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78</xdr:row>
      <xdr:rowOff>21568</xdr:rowOff>
    </xdr:from>
    <xdr:to>
      <xdr:col>2</xdr:col>
      <xdr:colOff>7231588</xdr:colOff>
      <xdr:row>78</xdr:row>
      <xdr:rowOff>285851</xdr:rowOff>
    </xdr:to>
    <xdr:sp macro="[2]!HideFootnotes_Design" textlink="">
      <xdr:nvSpPr>
        <xdr:cNvPr id="40" name="Rectangle 39">
          <a:extLst>
            <a:ext uri="{FF2B5EF4-FFF2-40B4-BE49-F238E27FC236}">
              <a16:creationId xmlns:a16="http://schemas.microsoft.com/office/drawing/2014/main" id="{38AD7BF5-82F7-F44E-946E-0413573C8819}"/>
            </a:ext>
          </a:extLst>
        </xdr:cNvPr>
        <xdr:cNvSpPr/>
      </xdr:nvSpPr>
      <xdr:spPr>
        <a:xfrm>
          <a:off x="7349462" y="21805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81</xdr:row>
      <xdr:rowOff>343318</xdr:rowOff>
    </xdr:from>
    <xdr:to>
      <xdr:col>2</xdr:col>
      <xdr:colOff>7231588</xdr:colOff>
      <xdr:row>81</xdr:row>
      <xdr:rowOff>607601</xdr:rowOff>
    </xdr:to>
    <xdr:sp macro="[2]!Design_DisplayFootnotes_4b29" textlink="">
      <xdr:nvSpPr>
        <xdr:cNvPr id="41" name="Rectangle 40">
          <a:extLst>
            <a:ext uri="{FF2B5EF4-FFF2-40B4-BE49-F238E27FC236}">
              <a16:creationId xmlns:a16="http://schemas.microsoft.com/office/drawing/2014/main" id="{65D3C0D5-1A13-1940-A0CF-9DF6C71A67D2}"/>
            </a:ext>
          </a:extLst>
        </xdr:cNvPr>
        <xdr:cNvSpPr/>
      </xdr:nvSpPr>
      <xdr:spPr>
        <a:xfrm>
          <a:off x="7349462" y="2283501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82</xdr:row>
      <xdr:rowOff>17380</xdr:rowOff>
    </xdr:from>
    <xdr:to>
      <xdr:col>2</xdr:col>
      <xdr:colOff>7231588</xdr:colOff>
      <xdr:row>82</xdr:row>
      <xdr:rowOff>281663</xdr:rowOff>
    </xdr:to>
    <xdr:sp macro="[2]!HideFootnotes_Design" textlink="">
      <xdr:nvSpPr>
        <xdr:cNvPr id="42" name="Rectangle 41">
          <a:extLst>
            <a:ext uri="{FF2B5EF4-FFF2-40B4-BE49-F238E27FC236}">
              <a16:creationId xmlns:a16="http://schemas.microsoft.com/office/drawing/2014/main" id="{90110B20-4C63-1643-A69A-472BCE45D795}"/>
            </a:ext>
          </a:extLst>
        </xdr:cNvPr>
        <xdr:cNvSpPr/>
      </xdr:nvSpPr>
      <xdr:spPr>
        <a:xfrm>
          <a:off x="7349462" y="23202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90</xdr:row>
      <xdr:rowOff>164541</xdr:rowOff>
    </xdr:from>
    <xdr:to>
      <xdr:col>2</xdr:col>
      <xdr:colOff>7231588</xdr:colOff>
      <xdr:row>90</xdr:row>
      <xdr:rowOff>428824</xdr:rowOff>
    </xdr:to>
    <xdr:sp macro="[2]!Design_DisplayFootnotes_515" textlink="">
      <xdr:nvSpPr>
        <xdr:cNvPr id="43" name="Rectangle 42">
          <a:extLst>
            <a:ext uri="{FF2B5EF4-FFF2-40B4-BE49-F238E27FC236}">
              <a16:creationId xmlns:a16="http://schemas.microsoft.com/office/drawing/2014/main" id="{3526E697-EEFC-E54C-950E-41EC319C0A07}"/>
            </a:ext>
          </a:extLst>
        </xdr:cNvPr>
        <xdr:cNvSpPr/>
      </xdr:nvSpPr>
      <xdr:spPr>
        <a:xfrm>
          <a:off x="7349462" y="2707584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91</xdr:row>
      <xdr:rowOff>21568</xdr:rowOff>
    </xdr:from>
    <xdr:to>
      <xdr:col>2</xdr:col>
      <xdr:colOff>7231588</xdr:colOff>
      <xdr:row>91</xdr:row>
      <xdr:rowOff>285851</xdr:rowOff>
    </xdr:to>
    <xdr:sp macro="[2]!HideFootnotes_Design" textlink="">
      <xdr:nvSpPr>
        <xdr:cNvPr id="44" name="Rectangle 43">
          <a:extLst>
            <a:ext uri="{FF2B5EF4-FFF2-40B4-BE49-F238E27FC236}">
              <a16:creationId xmlns:a16="http://schemas.microsoft.com/office/drawing/2014/main" id="{4D36106B-21F5-BB4C-A1CE-0F01C23E35AE}"/>
            </a:ext>
          </a:extLst>
        </xdr:cNvPr>
        <xdr:cNvSpPr/>
      </xdr:nvSpPr>
      <xdr:spPr>
        <a:xfrm>
          <a:off x="7349462" y="27406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94</xdr:row>
      <xdr:rowOff>351273</xdr:rowOff>
    </xdr:from>
    <xdr:to>
      <xdr:col>2</xdr:col>
      <xdr:colOff>7231588</xdr:colOff>
      <xdr:row>94</xdr:row>
      <xdr:rowOff>615556</xdr:rowOff>
    </xdr:to>
    <xdr:sp macro="[2]!Design_DisplayFootnotes_517" textlink="">
      <xdr:nvSpPr>
        <xdr:cNvPr id="45" name="Rectangle 44">
          <a:extLst>
            <a:ext uri="{FF2B5EF4-FFF2-40B4-BE49-F238E27FC236}">
              <a16:creationId xmlns:a16="http://schemas.microsoft.com/office/drawing/2014/main" id="{A314AA9E-8FFA-724B-AAC1-53E0CA3F6D3C}"/>
            </a:ext>
          </a:extLst>
        </xdr:cNvPr>
        <xdr:cNvSpPr/>
      </xdr:nvSpPr>
      <xdr:spPr>
        <a:xfrm>
          <a:off x="7349462" y="2838017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95</xdr:row>
      <xdr:rowOff>21567</xdr:rowOff>
    </xdr:from>
    <xdr:to>
      <xdr:col>2</xdr:col>
      <xdr:colOff>7231588</xdr:colOff>
      <xdr:row>95</xdr:row>
      <xdr:rowOff>285850</xdr:rowOff>
    </xdr:to>
    <xdr:sp macro="[2]!HideFootnotes_Design" textlink="">
      <xdr:nvSpPr>
        <xdr:cNvPr id="46" name="Rectangle 45">
          <a:extLst>
            <a:ext uri="{FF2B5EF4-FFF2-40B4-BE49-F238E27FC236}">
              <a16:creationId xmlns:a16="http://schemas.microsoft.com/office/drawing/2014/main" id="{6CFCC34F-E080-1543-A7A6-C1B1C6CF1CCC}"/>
            </a:ext>
          </a:extLst>
        </xdr:cNvPr>
        <xdr:cNvSpPr/>
      </xdr:nvSpPr>
      <xdr:spPr>
        <a:xfrm>
          <a:off x="7349462" y="28740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97</xdr:row>
      <xdr:rowOff>542197</xdr:rowOff>
    </xdr:from>
    <xdr:to>
      <xdr:col>2</xdr:col>
      <xdr:colOff>7231588</xdr:colOff>
      <xdr:row>97</xdr:row>
      <xdr:rowOff>806480</xdr:rowOff>
    </xdr:to>
    <xdr:sp macro="[2]!Design_DisplayFootnotes_519" textlink="">
      <xdr:nvSpPr>
        <xdr:cNvPr id="47" name="Rectangle 46">
          <a:extLst>
            <a:ext uri="{FF2B5EF4-FFF2-40B4-BE49-F238E27FC236}">
              <a16:creationId xmlns:a16="http://schemas.microsoft.com/office/drawing/2014/main" id="{71DC3525-1D49-BF44-93DB-7C70B3AF4670}"/>
            </a:ext>
          </a:extLst>
        </xdr:cNvPr>
        <xdr:cNvSpPr/>
      </xdr:nvSpPr>
      <xdr:spPr>
        <a:xfrm>
          <a:off x="7349462" y="2992999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98</xdr:row>
      <xdr:rowOff>21568</xdr:rowOff>
    </xdr:from>
    <xdr:to>
      <xdr:col>2</xdr:col>
      <xdr:colOff>7231588</xdr:colOff>
      <xdr:row>98</xdr:row>
      <xdr:rowOff>285851</xdr:rowOff>
    </xdr:to>
    <xdr:sp macro="[2]!HideFootnotes_Design" textlink="">
      <xdr:nvSpPr>
        <xdr:cNvPr id="48" name="Rectangle 47">
          <a:extLst>
            <a:ext uri="{FF2B5EF4-FFF2-40B4-BE49-F238E27FC236}">
              <a16:creationId xmlns:a16="http://schemas.microsoft.com/office/drawing/2014/main" id="{51242CBD-7464-D54F-ABAB-FAE24DFBECCD}"/>
            </a:ext>
          </a:extLst>
        </xdr:cNvPr>
        <xdr:cNvSpPr/>
      </xdr:nvSpPr>
      <xdr:spPr>
        <a:xfrm>
          <a:off x="7349462" y="30314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102</xdr:row>
      <xdr:rowOff>889278</xdr:rowOff>
    </xdr:from>
    <xdr:to>
      <xdr:col>2</xdr:col>
      <xdr:colOff>7231588</xdr:colOff>
      <xdr:row>102</xdr:row>
      <xdr:rowOff>1153561</xdr:rowOff>
    </xdr:to>
    <xdr:sp macro="[2]!Design_DisplayFootnotes_521" textlink="">
      <xdr:nvSpPr>
        <xdr:cNvPr id="49" name="Rectangle 48">
          <a:extLst>
            <a:ext uri="{FF2B5EF4-FFF2-40B4-BE49-F238E27FC236}">
              <a16:creationId xmlns:a16="http://schemas.microsoft.com/office/drawing/2014/main" id="{33BA98B6-2E29-2340-8C3A-26974668ABF4}"/>
            </a:ext>
          </a:extLst>
        </xdr:cNvPr>
        <xdr:cNvSpPr/>
      </xdr:nvSpPr>
      <xdr:spPr>
        <a:xfrm>
          <a:off x="7349462" y="3188997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103</xdr:row>
      <xdr:rowOff>21567</xdr:rowOff>
    </xdr:from>
    <xdr:to>
      <xdr:col>2</xdr:col>
      <xdr:colOff>7231588</xdr:colOff>
      <xdr:row>103</xdr:row>
      <xdr:rowOff>285850</xdr:rowOff>
    </xdr:to>
    <xdr:sp macro="[2]!HideFootnotes_Design" textlink="">
      <xdr:nvSpPr>
        <xdr:cNvPr id="50" name="Rectangle 49">
          <a:extLst>
            <a:ext uri="{FF2B5EF4-FFF2-40B4-BE49-F238E27FC236}">
              <a16:creationId xmlns:a16="http://schemas.microsoft.com/office/drawing/2014/main" id="{07628F1F-936A-AC40-9A2F-94F2936DE944}"/>
            </a:ext>
          </a:extLst>
        </xdr:cNvPr>
        <xdr:cNvSpPr/>
      </xdr:nvSpPr>
      <xdr:spPr>
        <a:xfrm>
          <a:off x="7349462" y="32550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105</xdr:row>
      <xdr:rowOff>160774</xdr:rowOff>
    </xdr:from>
    <xdr:to>
      <xdr:col>2</xdr:col>
      <xdr:colOff>7231588</xdr:colOff>
      <xdr:row>105</xdr:row>
      <xdr:rowOff>425057</xdr:rowOff>
    </xdr:to>
    <xdr:sp macro="[2]!Design_DisplayFootnotes_53" textlink="">
      <xdr:nvSpPr>
        <xdr:cNvPr id="51" name="Rectangle 50">
          <a:extLst>
            <a:ext uri="{FF2B5EF4-FFF2-40B4-BE49-F238E27FC236}">
              <a16:creationId xmlns:a16="http://schemas.microsoft.com/office/drawing/2014/main" id="{FAC3DEAB-27F1-764A-8F0A-417EFCA6EA50}"/>
            </a:ext>
          </a:extLst>
        </xdr:cNvPr>
        <xdr:cNvSpPr/>
      </xdr:nvSpPr>
      <xdr:spPr>
        <a:xfrm>
          <a:off x="7349462" y="3296487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106</xdr:row>
      <xdr:rowOff>21567</xdr:rowOff>
    </xdr:from>
    <xdr:to>
      <xdr:col>2</xdr:col>
      <xdr:colOff>7231588</xdr:colOff>
      <xdr:row>106</xdr:row>
      <xdr:rowOff>285850</xdr:rowOff>
    </xdr:to>
    <xdr:sp macro="[2]!HideFootnotes_Design" textlink="">
      <xdr:nvSpPr>
        <xdr:cNvPr id="52" name="Rectangle 51">
          <a:extLst>
            <a:ext uri="{FF2B5EF4-FFF2-40B4-BE49-F238E27FC236}">
              <a16:creationId xmlns:a16="http://schemas.microsoft.com/office/drawing/2014/main" id="{8C286AF6-5F07-F24C-91B6-139831F2035C}"/>
            </a:ext>
          </a:extLst>
        </xdr:cNvPr>
        <xdr:cNvSpPr/>
      </xdr:nvSpPr>
      <xdr:spPr>
        <a:xfrm>
          <a:off x="7349462" y="33299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5878335</xdr:colOff>
      <xdr:row>112</xdr:row>
      <xdr:rowOff>715225</xdr:rowOff>
    </xdr:from>
    <xdr:to>
      <xdr:col>2</xdr:col>
      <xdr:colOff>7208261</xdr:colOff>
      <xdr:row>112</xdr:row>
      <xdr:rowOff>979508</xdr:rowOff>
    </xdr:to>
    <xdr:sp macro="[2]!Design_DisplayFootnotes_563" textlink="">
      <xdr:nvSpPr>
        <xdr:cNvPr id="53" name="Rectangle 52">
          <a:extLst>
            <a:ext uri="{FF2B5EF4-FFF2-40B4-BE49-F238E27FC236}">
              <a16:creationId xmlns:a16="http://schemas.microsoft.com/office/drawing/2014/main" id="{E383DC51-AF2C-3B40-B35C-8C5A9F96CAC2}"/>
            </a:ext>
          </a:extLst>
        </xdr:cNvPr>
        <xdr:cNvSpPr/>
      </xdr:nvSpPr>
      <xdr:spPr>
        <a:xfrm>
          <a:off x="7326135" y="3660542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113</xdr:row>
      <xdr:rowOff>21567</xdr:rowOff>
    </xdr:from>
    <xdr:to>
      <xdr:col>2</xdr:col>
      <xdr:colOff>7231588</xdr:colOff>
      <xdr:row>113</xdr:row>
      <xdr:rowOff>285850</xdr:rowOff>
    </xdr:to>
    <xdr:sp macro="[2]!HideFootnotes_Design" textlink="">
      <xdr:nvSpPr>
        <xdr:cNvPr id="54" name="Rectangle 53">
          <a:extLst>
            <a:ext uri="{FF2B5EF4-FFF2-40B4-BE49-F238E27FC236}">
              <a16:creationId xmlns:a16="http://schemas.microsoft.com/office/drawing/2014/main" id="{47D20C89-3C10-BD4D-9B09-9D94D64A1025}"/>
            </a:ext>
          </a:extLst>
        </xdr:cNvPr>
        <xdr:cNvSpPr/>
      </xdr:nvSpPr>
      <xdr:spPr>
        <a:xfrm>
          <a:off x="7349462" y="37033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5022112</xdr:colOff>
      <xdr:row>0</xdr:row>
      <xdr:rowOff>90892</xdr:rowOff>
    </xdr:from>
    <xdr:to>
      <xdr:col>2</xdr:col>
      <xdr:colOff>6485152</xdr:colOff>
      <xdr:row>0</xdr:row>
      <xdr:rowOff>593812</xdr:rowOff>
    </xdr:to>
    <xdr:sp macro="[2]!Title24DwellingUnit_Path" textlink="">
      <xdr:nvSpPr>
        <xdr:cNvPr id="55" name="Rectangle 54">
          <a:extLst>
            <a:ext uri="{FF2B5EF4-FFF2-40B4-BE49-F238E27FC236}">
              <a16:creationId xmlns:a16="http://schemas.microsoft.com/office/drawing/2014/main" id="{593D1011-C4C7-EE43-90B3-A3C508C6D943}"/>
            </a:ext>
          </a:extLst>
        </xdr:cNvPr>
        <xdr:cNvSpPr/>
      </xdr:nvSpPr>
      <xdr:spPr>
        <a:xfrm>
          <a:off x="6469912" y="90892"/>
          <a:ext cx="1463040" cy="5029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Title 24: </a:t>
          </a:r>
          <a:r>
            <a:rPr lang="en-US" sz="1200" b="1"/>
            <a:t>Dwelling Unit Models</a:t>
          </a:r>
        </a:p>
        <a:p>
          <a:pPr algn="ctr"/>
          <a:endParaRPr lang="en-US" sz="1800" b="1"/>
        </a:p>
      </xdr:txBody>
    </xdr:sp>
    <xdr:clientData/>
  </xdr:twoCellAnchor>
  <xdr:twoCellAnchor>
    <xdr:from>
      <xdr:col>2</xdr:col>
      <xdr:colOff>5022112</xdr:colOff>
      <xdr:row>0</xdr:row>
      <xdr:rowOff>593812</xdr:rowOff>
    </xdr:from>
    <xdr:to>
      <xdr:col>2</xdr:col>
      <xdr:colOff>6485152</xdr:colOff>
      <xdr:row>0</xdr:row>
      <xdr:rowOff>1096732</xdr:rowOff>
    </xdr:to>
    <xdr:sp macro="[2]!Title24WholeBuilding_Path" textlink="">
      <xdr:nvSpPr>
        <xdr:cNvPr id="56" name="Rectangle 55">
          <a:extLst>
            <a:ext uri="{FF2B5EF4-FFF2-40B4-BE49-F238E27FC236}">
              <a16:creationId xmlns:a16="http://schemas.microsoft.com/office/drawing/2014/main" id="{AD91B180-A5FA-1C4D-ADBA-1853F45C77FE}"/>
            </a:ext>
          </a:extLst>
        </xdr:cNvPr>
        <xdr:cNvSpPr/>
      </xdr:nvSpPr>
      <xdr:spPr>
        <a:xfrm>
          <a:off x="6469912" y="593812"/>
          <a:ext cx="1463040" cy="5029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Title 24: </a:t>
          </a:r>
          <a:r>
            <a:rPr lang="en-US" sz="1200" b="1"/>
            <a:t>Whole Building Models</a:t>
          </a:r>
        </a:p>
        <a:p>
          <a:pPr algn="ctr"/>
          <a:endParaRPr lang="en-US" sz="1800" b="1"/>
        </a:p>
      </xdr:txBody>
    </xdr:sp>
    <xdr:clientData/>
  </xdr:twoCellAnchor>
  <xdr:twoCellAnchor>
    <xdr:from>
      <xdr:col>2</xdr:col>
      <xdr:colOff>5901662</xdr:colOff>
      <xdr:row>9</xdr:row>
      <xdr:rowOff>18143</xdr:rowOff>
    </xdr:from>
    <xdr:to>
      <xdr:col>2</xdr:col>
      <xdr:colOff>7231588</xdr:colOff>
      <xdr:row>9</xdr:row>
      <xdr:rowOff>282426</xdr:rowOff>
    </xdr:to>
    <xdr:sp macro="[2]!HideFootnotes_Design" textlink="">
      <xdr:nvSpPr>
        <xdr:cNvPr id="57" name="Rectangle 56">
          <a:extLst>
            <a:ext uri="{FF2B5EF4-FFF2-40B4-BE49-F238E27FC236}">
              <a16:creationId xmlns:a16="http://schemas.microsoft.com/office/drawing/2014/main" id="{A1C134BA-77AF-9242-9432-999ED605E408}"/>
            </a:ext>
          </a:extLst>
        </xdr:cNvPr>
        <xdr:cNvSpPr/>
      </xdr:nvSpPr>
      <xdr:spPr>
        <a:xfrm>
          <a:off x="7349462" y="3086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5</xdr:col>
      <xdr:colOff>574222</xdr:colOff>
      <xdr:row>6</xdr:row>
      <xdr:rowOff>21770</xdr:rowOff>
    </xdr:from>
    <xdr:to>
      <xdr:col>5</xdr:col>
      <xdr:colOff>1904148</xdr:colOff>
      <xdr:row>6</xdr:row>
      <xdr:rowOff>277802</xdr:rowOff>
    </xdr:to>
    <xdr:sp macro="[2]!Design_DisplayFootnotes_Checklist_1_3" textlink="">
      <xdr:nvSpPr>
        <xdr:cNvPr id="58" name="Rectangle 57">
          <a:extLst>
            <a:ext uri="{FF2B5EF4-FFF2-40B4-BE49-F238E27FC236}">
              <a16:creationId xmlns:a16="http://schemas.microsoft.com/office/drawing/2014/main" id="{8895C7E2-4F38-824F-A6A6-995C939EF936}"/>
            </a:ext>
          </a:extLst>
        </xdr:cNvPr>
        <xdr:cNvSpPr/>
      </xdr:nvSpPr>
      <xdr:spPr>
        <a:xfrm>
          <a:off x="11889922" y="2307770"/>
          <a:ext cx="1329926" cy="256032"/>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54</xdr:row>
      <xdr:rowOff>176267</xdr:rowOff>
    </xdr:from>
    <xdr:to>
      <xdr:col>2</xdr:col>
      <xdr:colOff>7231588</xdr:colOff>
      <xdr:row>54</xdr:row>
      <xdr:rowOff>440550</xdr:rowOff>
    </xdr:to>
    <xdr:sp macro="[2]!Design_DisplayFootnotes_4a" textlink="">
      <xdr:nvSpPr>
        <xdr:cNvPr id="59" name="Rectangle 58">
          <a:extLst>
            <a:ext uri="{FF2B5EF4-FFF2-40B4-BE49-F238E27FC236}">
              <a16:creationId xmlns:a16="http://schemas.microsoft.com/office/drawing/2014/main" id="{CD9A0998-9102-DA42-A16A-2ABD7D3F8CDE}"/>
            </a:ext>
          </a:extLst>
        </xdr:cNvPr>
        <xdr:cNvSpPr/>
      </xdr:nvSpPr>
      <xdr:spPr>
        <a:xfrm>
          <a:off x="7349462" y="1332076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59</xdr:row>
      <xdr:rowOff>21567</xdr:rowOff>
    </xdr:from>
    <xdr:to>
      <xdr:col>2</xdr:col>
      <xdr:colOff>7231588</xdr:colOff>
      <xdr:row>59</xdr:row>
      <xdr:rowOff>285850</xdr:rowOff>
    </xdr:to>
    <xdr:sp macro="[2]!HideFootnotes_Design" textlink="">
      <xdr:nvSpPr>
        <xdr:cNvPr id="60" name="Rectangle 59">
          <a:extLst>
            <a:ext uri="{FF2B5EF4-FFF2-40B4-BE49-F238E27FC236}">
              <a16:creationId xmlns:a16="http://schemas.microsoft.com/office/drawing/2014/main" id="{29CDE597-C8D5-3C42-BEF4-B56A124D4B5B}"/>
            </a:ext>
          </a:extLst>
        </xdr:cNvPr>
        <xdr:cNvSpPr/>
      </xdr:nvSpPr>
      <xdr:spPr>
        <a:xfrm>
          <a:off x="7349462" y="15100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5901662</xdr:colOff>
      <xdr:row>61</xdr:row>
      <xdr:rowOff>21567</xdr:rowOff>
    </xdr:from>
    <xdr:to>
      <xdr:col>2</xdr:col>
      <xdr:colOff>7231588</xdr:colOff>
      <xdr:row>61</xdr:row>
      <xdr:rowOff>285850</xdr:rowOff>
    </xdr:to>
    <xdr:sp macro="[2]!HideFootnotes_Design" textlink="">
      <xdr:nvSpPr>
        <xdr:cNvPr id="61" name="Rectangle 60">
          <a:extLst>
            <a:ext uri="{FF2B5EF4-FFF2-40B4-BE49-F238E27FC236}">
              <a16:creationId xmlns:a16="http://schemas.microsoft.com/office/drawing/2014/main" id="{2E35BEBD-2F3E-FC43-B99E-5E8F1B8A6471}"/>
            </a:ext>
          </a:extLst>
        </xdr:cNvPr>
        <xdr:cNvSpPr/>
      </xdr:nvSpPr>
      <xdr:spPr>
        <a:xfrm>
          <a:off x="7349462" y="15570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5878286</xdr:colOff>
      <xdr:row>58</xdr:row>
      <xdr:rowOff>272142</xdr:rowOff>
    </xdr:from>
    <xdr:to>
      <xdr:col>2</xdr:col>
      <xdr:colOff>7208212</xdr:colOff>
      <xdr:row>58</xdr:row>
      <xdr:rowOff>536425</xdr:rowOff>
    </xdr:to>
    <xdr:sp macro="[2]!Design_DisplayFootnotes_4a3" textlink="">
      <xdr:nvSpPr>
        <xdr:cNvPr id="62" name="Rectangle 61">
          <a:extLst>
            <a:ext uri="{FF2B5EF4-FFF2-40B4-BE49-F238E27FC236}">
              <a16:creationId xmlns:a16="http://schemas.microsoft.com/office/drawing/2014/main" id="{7D031789-CAC0-E64F-BD90-230011F05862}"/>
            </a:ext>
          </a:extLst>
        </xdr:cNvPr>
        <xdr:cNvSpPr/>
      </xdr:nvSpPr>
      <xdr:spPr>
        <a:xfrm>
          <a:off x="7326086" y="1478824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5870510</xdr:colOff>
      <xdr:row>60</xdr:row>
      <xdr:rowOff>178836</xdr:rowOff>
    </xdr:from>
    <xdr:to>
      <xdr:col>2</xdr:col>
      <xdr:colOff>7200436</xdr:colOff>
      <xdr:row>60</xdr:row>
      <xdr:rowOff>443119</xdr:rowOff>
    </xdr:to>
    <xdr:sp macro="[2]!Design_DisplayFootnotes_4a4" textlink="">
      <xdr:nvSpPr>
        <xdr:cNvPr id="63" name="Rectangle 62">
          <a:extLst>
            <a:ext uri="{FF2B5EF4-FFF2-40B4-BE49-F238E27FC236}">
              <a16:creationId xmlns:a16="http://schemas.microsoft.com/office/drawing/2014/main" id="{1E7D51EB-6A02-5F43-98A8-E773FDE9DEDC}"/>
            </a:ext>
          </a:extLst>
        </xdr:cNvPr>
        <xdr:cNvSpPr/>
      </xdr:nvSpPr>
      <xdr:spPr>
        <a:xfrm>
          <a:off x="7318310" y="1527913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76</xdr:row>
      <xdr:rowOff>21568</xdr:rowOff>
    </xdr:from>
    <xdr:to>
      <xdr:col>2</xdr:col>
      <xdr:colOff>7231588</xdr:colOff>
      <xdr:row>76</xdr:row>
      <xdr:rowOff>285851</xdr:rowOff>
    </xdr:to>
    <xdr:sp macro="[2]!HideFootnotes_Design" textlink="">
      <xdr:nvSpPr>
        <xdr:cNvPr id="64" name="Rectangle 63">
          <a:extLst>
            <a:ext uri="{FF2B5EF4-FFF2-40B4-BE49-F238E27FC236}">
              <a16:creationId xmlns:a16="http://schemas.microsoft.com/office/drawing/2014/main" id="{9E1FD11A-CA8C-0D46-A75F-9594B3FA0B54}"/>
            </a:ext>
          </a:extLst>
        </xdr:cNvPr>
        <xdr:cNvSpPr/>
      </xdr:nvSpPr>
      <xdr:spPr>
        <a:xfrm>
          <a:off x="7349462" y="210947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5893836</xdr:colOff>
      <xdr:row>75</xdr:row>
      <xdr:rowOff>427652</xdr:rowOff>
    </xdr:from>
    <xdr:to>
      <xdr:col>2</xdr:col>
      <xdr:colOff>7223762</xdr:colOff>
      <xdr:row>75</xdr:row>
      <xdr:rowOff>691935</xdr:rowOff>
    </xdr:to>
    <xdr:sp macro="[2]!Design_DisplayFootnotes_4b25" textlink="">
      <xdr:nvSpPr>
        <xdr:cNvPr id="65" name="Rectangle 64">
          <a:extLst>
            <a:ext uri="{FF2B5EF4-FFF2-40B4-BE49-F238E27FC236}">
              <a16:creationId xmlns:a16="http://schemas.microsoft.com/office/drawing/2014/main" id="{CDE1D4E5-9682-284E-BC97-2B3B7D2C0F83}"/>
            </a:ext>
          </a:extLst>
        </xdr:cNvPr>
        <xdr:cNvSpPr/>
      </xdr:nvSpPr>
      <xdr:spPr>
        <a:xfrm>
          <a:off x="7341636" y="2081115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74</xdr:row>
      <xdr:rowOff>21568</xdr:rowOff>
    </xdr:from>
    <xdr:to>
      <xdr:col>2</xdr:col>
      <xdr:colOff>7231588</xdr:colOff>
      <xdr:row>74</xdr:row>
      <xdr:rowOff>285851</xdr:rowOff>
    </xdr:to>
    <xdr:sp macro="[2]!HideFootnotes_Design" textlink="">
      <xdr:nvSpPr>
        <xdr:cNvPr id="66" name="Rectangle 65">
          <a:extLst>
            <a:ext uri="{FF2B5EF4-FFF2-40B4-BE49-F238E27FC236}">
              <a16:creationId xmlns:a16="http://schemas.microsoft.com/office/drawing/2014/main" id="{0DCDA869-16BE-CB4E-867E-6FD52BCD0A6B}"/>
            </a:ext>
          </a:extLst>
        </xdr:cNvPr>
        <xdr:cNvSpPr/>
      </xdr:nvSpPr>
      <xdr:spPr>
        <a:xfrm>
          <a:off x="7349462" y="20383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5893836</xdr:colOff>
      <xdr:row>73</xdr:row>
      <xdr:rowOff>311020</xdr:rowOff>
    </xdr:from>
    <xdr:to>
      <xdr:col>2</xdr:col>
      <xdr:colOff>7223762</xdr:colOff>
      <xdr:row>73</xdr:row>
      <xdr:rowOff>575303</xdr:rowOff>
    </xdr:to>
    <xdr:sp macro="[2]!Design_DisplayFootnotes_4b24" textlink="">
      <xdr:nvSpPr>
        <xdr:cNvPr id="67" name="Rectangle 66">
          <a:extLst>
            <a:ext uri="{FF2B5EF4-FFF2-40B4-BE49-F238E27FC236}">
              <a16:creationId xmlns:a16="http://schemas.microsoft.com/office/drawing/2014/main" id="{DD091C1D-30BC-8746-9ED9-14E3E68C129E}"/>
            </a:ext>
          </a:extLst>
        </xdr:cNvPr>
        <xdr:cNvSpPr/>
      </xdr:nvSpPr>
      <xdr:spPr>
        <a:xfrm>
          <a:off x="7341636" y="2009762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5901662</xdr:colOff>
      <xdr:row>93</xdr:row>
      <xdr:rowOff>21567</xdr:rowOff>
    </xdr:from>
    <xdr:to>
      <xdr:col>2</xdr:col>
      <xdr:colOff>7231588</xdr:colOff>
      <xdr:row>93</xdr:row>
      <xdr:rowOff>285850</xdr:rowOff>
    </xdr:to>
    <xdr:sp macro="[2]!HideFootnotes_Design" textlink="">
      <xdr:nvSpPr>
        <xdr:cNvPr id="68" name="Rectangle 67">
          <a:extLst>
            <a:ext uri="{FF2B5EF4-FFF2-40B4-BE49-F238E27FC236}">
              <a16:creationId xmlns:a16="http://schemas.microsoft.com/office/drawing/2014/main" id="{7791DF0A-E72E-3D4E-8937-6D3ABA59803D}"/>
            </a:ext>
          </a:extLst>
        </xdr:cNvPr>
        <xdr:cNvSpPr/>
      </xdr:nvSpPr>
      <xdr:spPr>
        <a:xfrm>
          <a:off x="7349462" y="28028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5893837</xdr:colOff>
      <xdr:row>92</xdr:row>
      <xdr:rowOff>326571</xdr:rowOff>
    </xdr:from>
    <xdr:to>
      <xdr:col>2</xdr:col>
      <xdr:colOff>7223763</xdr:colOff>
      <xdr:row>92</xdr:row>
      <xdr:rowOff>590854</xdr:rowOff>
    </xdr:to>
    <xdr:sp macro="[2]!Design_DisplayFootnotes_516" textlink="">
      <xdr:nvSpPr>
        <xdr:cNvPr id="69" name="Rectangle 68">
          <a:extLst>
            <a:ext uri="{FF2B5EF4-FFF2-40B4-BE49-F238E27FC236}">
              <a16:creationId xmlns:a16="http://schemas.microsoft.com/office/drawing/2014/main" id="{D91A413B-4C36-AE4C-B035-90B37E360F55}"/>
            </a:ext>
          </a:extLst>
        </xdr:cNvPr>
        <xdr:cNvSpPr/>
      </xdr:nvSpPr>
      <xdr:spPr>
        <a:xfrm>
          <a:off x="7341637" y="2773317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1953893</xdr:colOff>
      <xdr:row>0</xdr:row>
      <xdr:rowOff>132294</xdr:rowOff>
    </xdr:from>
    <xdr:to>
      <xdr:col>2</xdr:col>
      <xdr:colOff>3325493</xdr:colOff>
      <xdr:row>0</xdr:row>
      <xdr:rowOff>1046694</xdr:rowOff>
    </xdr:to>
    <xdr:sp macro="[2]!FIELD_CLEAR_Path" textlink="">
      <xdr:nvSpPr>
        <xdr:cNvPr id="2" name="Rectangle 1">
          <a:extLst>
            <a:ext uri="{FF2B5EF4-FFF2-40B4-BE49-F238E27FC236}">
              <a16:creationId xmlns:a16="http://schemas.microsoft.com/office/drawing/2014/main" id="{304D2946-33AB-7049-A313-BB8F02D6F604}"/>
            </a:ext>
          </a:extLst>
        </xdr:cNvPr>
        <xdr:cNvSpPr/>
      </xdr:nvSpPr>
      <xdr:spPr>
        <a:xfrm>
          <a:off x="3465193" y="132294"/>
          <a:ext cx="1371600" cy="9144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baseline="0"/>
            <a:t>SELECT PATHWAY</a:t>
          </a:r>
        </a:p>
        <a:p>
          <a:pPr algn="ctr"/>
          <a:r>
            <a:rPr lang="en-US" sz="1050" b="1" baseline="0"/>
            <a:t>(Reset to All Paths)</a:t>
          </a:r>
          <a:endParaRPr lang="en-US" sz="1050" b="1"/>
        </a:p>
      </xdr:txBody>
    </xdr:sp>
    <xdr:clientData/>
  </xdr:twoCellAnchor>
  <xdr:twoCellAnchor>
    <xdr:from>
      <xdr:col>2</xdr:col>
      <xdr:colOff>6575970</xdr:colOff>
      <xdr:row>0</xdr:row>
      <xdr:rowOff>84666</xdr:rowOff>
    </xdr:from>
    <xdr:to>
      <xdr:col>3</xdr:col>
      <xdr:colOff>1062235</xdr:colOff>
      <xdr:row>0</xdr:row>
      <xdr:rowOff>358986</xdr:rowOff>
    </xdr:to>
    <xdr:sp macro="[2]!FIELD_CLEAR_AllFields_Fields" textlink="">
      <xdr:nvSpPr>
        <xdr:cNvPr id="3" name="Rectangle 2">
          <a:extLst>
            <a:ext uri="{FF2B5EF4-FFF2-40B4-BE49-F238E27FC236}">
              <a16:creationId xmlns:a16="http://schemas.microsoft.com/office/drawing/2014/main" id="{A60E88F2-066E-EC4A-BB44-00507D88AFF0}"/>
            </a:ext>
          </a:extLst>
        </xdr:cNvPr>
        <xdr:cNvSpPr/>
      </xdr:nvSpPr>
      <xdr:spPr>
        <a:xfrm>
          <a:off x="8087270" y="84666"/>
          <a:ext cx="1737965" cy="274320"/>
        </a:xfrm>
        <a:prstGeom prst="rect">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baseline="0"/>
            <a:t>(Reset to All Available)</a:t>
          </a:r>
          <a:endParaRPr lang="en-US" sz="1200" b="1"/>
        </a:p>
      </xdr:txBody>
    </xdr:sp>
    <xdr:clientData/>
  </xdr:twoCellAnchor>
  <xdr:twoCellAnchor>
    <xdr:from>
      <xdr:col>1</xdr:col>
      <xdr:colOff>108857</xdr:colOff>
      <xdr:row>0</xdr:row>
      <xdr:rowOff>84666</xdr:rowOff>
    </xdr:from>
    <xdr:to>
      <xdr:col>2</xdr:col>
      <xdr:colOff>142421</xdr:colOff>
      <xdr:row>0</xdr:row>
      <xdr:rowOff>1090506</xdr:rowOff>
    </xdr:to>
    <xdr:sp macro="[2]!FIELD_AllFields_Fields" textlink="">
      <xdr:nvSpPr>
        <xdr:cNvPr id="4" name="Rectangle 3">
          <a:extLst>
            <a:ext uri="{FF2B5EF4-FFF2-40B4-BE49-F238E27FC236}">
              <a16:creationId xmlns:a16="http://schemas.microsoft.com/office/drawing/2014/main" id="{050BA944-8B6B-B149-8A88-BD653B66EFD9}"/>
            </a:ext>
          </a:extLst>
        </xdr:cNvPr>
        <xdr:cNvSpPr/>
      </xdr:nvSpPr>
      <xdr:spPr>
        <a:xfrm>
          <a:off x="312057" y="84666"/>
          <a:ext cx="1341664" cy="100584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baseline="0"/>
            <a:t>Rater Field Checklist</a:t>
          </a:r>
        </a:p>
        <a:p>
          <a:pPr algn="ctr"/>
          <a:r>
            <a:rPr lang="en-US" sz="1400" b="1" baseline="0"/>
            <a:t>(Reset All)</a:t>
          </a:r>
          <a:endParaRPr lang="en-US" sz="1200" b="1"/>
        </a:p>
      </xdr:txBody>
    </xdr:sp>
    <xdr:clientData/>
  </xdr:twoCellAnchor>
  <xdr:twoCellAnchor>
    <xdr:from>
      <xdr:col>2</xdr:col>
      <xdr:colOff>3407232</xdr:colOff>
      <xdr:row>0</xdr:row>
      <xdr:rowOff>816186</xdr:rowOff>
    </xdr:from>
    <xdr:to>
      <xdr:col>2</xdr:col>
      <xdr:colOff>4961712</xdr:colOff>
      <xdr:row>0</xdr:row>
      <xdr:rowOff>1090506</xdr:rowOff>
    </xdr:to>
    <xdr:sp macro="[2]!FIELD_ERI_Path" textlink="">
      <xdr:nvSpPr>
        <xdr:cNvPr id="5" name="Rectangle 4">
          <a:extLst>
            <a:ext uri="{FF2B5EF4-FFF2-40B4-BE49-F238E27FC236}">
              <a16:creationId xmlns:a16="http://schemas.microsoft.com/office/drawing/2014/main" id="{5970E3B5-3467-354F-B413-3EB5FB5AC882}"/>
            </a:ext>
          </a:extLst>
        </xdr:cNvPr>
        <xdr:cNvSpPr/>
      </xdr:nvSpPr>
      <xdr:spPr>
        <a:xfrm>
          <a:off x="4918532" y="816186"/>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ERI</a:t>
          </a:r>
        </a:p>
      </xdr:txBody>
    </xdr:sp>
    <xdr:clientData/>
  </xdr:twoCellAnchor>
  <xdr:twoCellAnchor>
    <xdr:from>
      <xdr:col>2</xdr:col>
      <xdr:colOff>3412222</xdr:colOff>
      <xdr:row>0</xdr:row>
      <xdr:rowOff>450426</xdr:rowOff>
    </xdr:from>
    <xdr:to>
      <xdr:col>2</xdr:col>
      <xdr:colOff>4966702</xdr:colOff>
      <xdr:row>0</xdr:row>
      <xdr:rowOff>724746</xdr:rowOff>
    </xdr:to>
    <xdr:sp macro="[2]!FIELD_ASHRAE_Path" textlink="">
      <xdr:nvSpPr>
        <xdr:cNvPr id="6" name="Rectangle 5">
          <a:extLst>
            <a:ext uri="{FF2B5EF4-FFF2-40B4-BE49-F238E27FC236}">
              <a16:creationId xmlns:a16="http://schemas.microsoft.com/office/drawing/2014/main" id="{0E5514FF-D835-7F4B-85F5-EA0F48A43E15}"/>
            </a:ext>
          </a:extLst>
        </xdr:cNvPr>
        <xdr:cNvSpPr/>
      </xdr:nvSpPr>
      <xdr:spPr>
        <a:xfrm>
          <a:off x="4923522" y="450426"/>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ASHRAE</a:t>
          </a:r>
        </a:p>
      </xdr:txBody>
    </xdr:sp>
    <xdr:clientData/>
  </xdr:twoCellAnchor>
  <xdr:twoCellAnchor>
    <xdr:from>
      <xdr:col>2</xdr:col>
      <xdr:colOff>3414035</xdr:colOff>
      <xdr:row>0</xdr:row>
      <xdr:rowOff>84666</xdr:rowOff>
    </xdr:from>
    <xdr:to>
      <xdr:col>2</xdr:col>
      <xdr:colOff>4968515</xdr:colOff>
      <xdr:row>0</xdr:row>
      <xdr:rowOff>358986</xdr:rowOff>
    </xdr:to>
    <xdr:sp macro="[2]!FIELD_Prescriptive_Path" textlink="">
      <xdr:nvSpPr>
        <xdr:cNvPr id="7" name="Rectangle 6">
          <a:extLst>
            <a:ext uri="{FF2B5EF4-FFF2-40B4-BE49-F238E27FC236}">
              <a16:creationId xmlns:a16="http://schemas.microsoft.com/office/drawing/2014/main" id="{72D0E0B4-729C-514B-AB20-A1DF93FEE915}"/>
            </a:ext>
          </a:extLst>
        </xdr:cNvPr>
        <xdr:cNvSpPr/>
      </xdr:nvSpPr>
      <xdr:spPr>
        <a:xfrm>
          <a:off x="4925335" y="84666"/>
          <a:ext cx="1554480" cy="2743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Prescriptive</a:t>
          </a:r>
        </a:p>
      </xdr:txBody>
    </xdr:sp>
    <xdr:clientData/>
  </xdr:twoCellAnchor>
  <xdr:twoCellAnchor>
    <xdr:from>
      <xdr:col>2</xdr:col>
      <xdr:colOff>6575970</xdr:colOff>
      <xdr:row>0</xdr:row>
      <xdr:rowOff>450426</xdr:rowOff>
    </xdr:from>
    <xdr:to>
      <xdr:col>3</xdr:col>
      <xdr:colOff>1062235</xdr:colOff>
      <xdr:row>0</xdr:row>
      <xdr:rowOff>724746</xdr:rowOff>
    </xdr:to>
    <xdr:sp macro="[2]!FIELD_RequiredOnly_Fields" textlink="">
      <xdr:nvSpPr>
        <xdr:cNvPr id="8" name="Rectangle 7">
          <a:extLst>
            <a:ext uri="{FF2B5EF4-FFF2-40B4-BE49-F238E27FC236}">
              <a16:creationId xmlns:a16="http://schemas.microsoft.com/office/drawing/2014/main" id="{B48E6FC9-E841-B045-8D70-5EE8DB79E490}"/>
            </a:ext>
          </a:extLst>
        </xdr:cNvPr>
        <xdr:cNvSpPr/>
      </xdr:nvSpPr>
      <xdr:spPr>
        <a:xfrm>
          <a:off x="8087270" y="450426"/>
          <a:ext cx="1737965" cy="274320"/>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baseline="0"/>
            <a:t>Required Only</a:t>
          </a:r>
          <a:endParaRPr lang="en-US" sz="1800" b="1"/>
        </a:p>
      </xdr:txBody>
    </xdr:sp>
    <xdr:clientData/>
  </xdr:twoCellAnchor>
  <xdr:twoCellAnchor>
    <xdr:from>
      <xdr:col>2</xdr:col>
      <xdr:colOff>6575970</xdr:colOff>
      <xdr:row>0</xdr:row>
      <xdr:rowOff>816186</xdr:rowOff>
    </xdr:from>
    <xdr:to>
      <xdr:col>3</xdr:col>
      <xdr:colOff>1062235</xdr:colOff>
      <xdr:row>0</xdr:row>
      <xdr:rowOff>1090506</xdr:rowOff>
    </xdr:to>
    <xdr:sp macro="[2]!FIELD_OptionalOnly_Fields" textlink="">
      <xdr:nvSpPr>
        <xdr:cNvPr id="9" name="Rectangle 8">
          <a:extLst>
            <a:ext uri="{FF2B5EF4-FFF2-40B4-BE49-F238E27FC236}">
              <a16:creationId xmlns:a16="http://schemas.microsoft.com/office/drawing/2014/main" id="{DC55B2A3-CB31-0145-BFAE-BCF2472DBBDA}"/>
            </a:ext>
          </a:extLst>
        </xdr:cNvPr>
        <xdr:cNvSpPr/>
      </xdr:nvSpPr>
      <xdr:spPr>
        <a:xfrm>
          <a:off x="8087270" y="816186"/>
          <a:ext cx="1737965" cy="274320"/>
        </a:xfrm>
        <a:prstGeom prst="rect">
          <a:avLst/>
        </a:prstGeom>
        <a:solidFill>
          <a:schemeClr val="accent6">
            <a:lumMod val="60000"/>
            <a:lumOff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baseline="0"/>
            <a:t>Optional Only</a:t>
          </a:r>
          <a:endParaRPr lang="en-US" sz="1800" b="1"/>
        </a:p>
      </xdr:txBody>
    </xdr:sp>
    <xdr:clientData/>
  </xdr:twoCellAnchor>
  <xdr:twoCellAnchor>
    <xdr:from>
      <xdr:col>2</xdr:col>
      <xdr:colOff>224060</xdr:colOff>
      <xdr:row>0</xdr:row>
      <xdr:rowOff>84666</xdr:rowOff>
    </xdr:from>
    <xdr:to>
      <xdr:col>2</xdr:col>
      <xdr:colOff>1872701</xdr:colOff>
      <xdr:row>0</xdr:row>
      <xdr:rowOff>541866</xdr:rowOff>
    </xdr:to>
    <xdr:sp macro="[2]!ShowFootnotes_Field" textlink="">
      <xdr:nvSpPr>
        <xdr:cNvPr id="10" name="Rectangle 9">
          <a:extLst>
            <a:ext uri="{FF2B5EF4-FFF2-40B4-BE49-F238E27FC236}">
              <a16:creationId xmlns:a16="http://schemas.microsoft.com/office/drawing/2014/main" id="{8533DE93-05FD-2C48-8B76-7878DA5D9D10}"/>
            </a:ext>
          </a:extLst>
        </xdr:cNvPr>
        <xdr:cNvSpPr/>
      </xdr:nvSpPr>
      <xdr:spPr>
        <a:xfrm>
          <a:off x="1735360" y="84666"/>
          <a:ext cx="1648641" cy="457200"/>
        </a:xfrm>
        <a:prstGeom prst="rect">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t>Show all Footnotes</a:t>
          </a:r>
          <a:endParaRPr lang="en-US" sz="1400" b="1"/>
        </a:p>
      </xdr:txBody>
    </xdr:sp>
    <xdr:clientData/>
  </xdr:twoCellAnchor>
  <xdr:twoCellAnchor>
    <xdr:from>
      <xdr:col>2</xdr:col>
      <xdr:colOff>224060</xdr:colOff>
      <xdr:row>0</xdr:row>
      <xdr:rowOff>633306</xdr:rowOff>
    </xdr:from>
    <xdr:to>
      <xdr:col>2</xdr:col>
      <xdr:colOff>1872701</xdr:colOff>
      <xdr:row>0</xdr:row>
      <xdr:rowOff>1090506</xdr:rowOff>
    </xdr:to>
    <xdr:sp macro="[2]!HideFootnotes_Field" textlink="">
      <xdr:nvSpPr>
        <xdr:cNvPr id="11" name="Rectangle 10">
          <a:extLst>
            <a:ext uri="{FF2B5EF4-FFF2-40B4-BE49-F238E27FC236}">
              <a16:creationId xmlns:a16="http://schemas.microsoft.com/office/drawing/2014/main" id="{7C29D175-4112-624F-9E4A-60A626F2663D}"/>
            </a:ext>
          </a:extLst>
        </xdr:cNvPr>
        <xdr:cNvSpPr/>
      </xdr:nvSpPr>
      <xdr:spPr>
        <a:xfrm>
          <a:off x="1735360" y="633306"/>
          <a:ext cx="1648641" cy="457200"/>
        </a:xfrm>
        <a:prstGeom prst="rect">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t>Hide all Footnotes</a:t>
          </a:r>
          <a:endParaRPr lang="en-US" sz="1400" b="1"/>
        </a:p>
      </xdr:txBody>
    </xdr:sp>
    <xdr:clientData/>
  </xdr:twoCellAnchor>
  <xdr:twoCellAnchor>
    <xdr:from>
      <xdr:col>2</xdr:col>
      <xdr:colOff>5028461</xdr:colOff>
      <xdr:row>0</xdr:row>
      <xdr:rowOff>84666</xdr:rowOff>
    </xdr:from>
    <xdr:to>
      <xdr:col>2</xdr:col>
      <xdr:colOff>6491501</xdr:colOff>
      <xdr:row>0</xdr:row>
      <xdr:rowOff>587586</xdr:rowOff>
    </xdr:to>
    <xdr:sp macro="[2]!FIELD_Title24DwellingUnit_Path" textlink="">
      <xdr:nvSpPr>
        <xdr:cNvPr id="12" name="Rectangle 11">
          <a:extLst>
            <a:ext uri="{FF2B5EF4-FFF2-40B4-BE49-F238E27FC236}">
              <a16:creationId xmlns:a16="http://schemas.microsoft.com/office/drawing/2014/main" id="{103C17AC-DF28-AA44-B584-C1A71BB57386}"/>
            </a:ext>
          </a:extLst>
        </xdr:cNvPr>
        <xdr:cNvSpPr/>
      </xdr:nvSpPr>
      <xdr:spPr>
        <a:xfrm>
          <a:off x="6539761" y="84666"/>
          <a:ext cx="1463040" cy="5029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Title 24: </a:t>
          </a:r>
          <a:r>
            <a:rPr lang="en-US" sz="1200" b="1"/>
            <a:t>Dwelling Unit Models</a:t>
          </a:r>
        </a:p>
        <a:p>
          <a:pPr algn="ctr"/>
          <a:endParaRPr lang="en-US" sz="1800" b="1"/>
        </a:p>
      </xdr:txBody>
    </xdr:sp>
    <xdr:clientData/>
  </xdr:twoCellAnchor>
  <xdr:twoCellAnchor>
    <xdr:from>
      <xdr:col>2</xdr:col>
      <xdr:colOff>5028461</xdr:colOff>
      <xdr:row>0</xdr:row>
      <xdr:rowOff>587586</xdr:rowOff>
    </xdr:from>
    <xdr:to>
      <xdr:col>2</xdr:col>
      <xdr:colOff>6491501</xdr:colOff>
      <xdr:row>0</xdr:row>
      <xdr:rowOff>1090506</xdr:rowOff>
    </xdr:to>
    <xdr:sp macro="[2]!FIELD_Title24WholeBuilding_Path" textlink="">
      <xdr:nvSpPr>
        <xdr:cNvPr id="13" name="Rectangle 12">
          <a:extLst>
            <a:ext uri="{FF2B5EF4-FFF2-40B4-BE49-F238E27FC236}">
              <a16:creationId xmlns:a16="http://schemas.microsoft.com/office/drawing/2014/main" id="{461D0F54-9F66-6D4F-8ADE-47BB741A976B}"/>
            </a:ext>
          </a:extLst>
        </xdr:cNvPr>
        <xdr:cNvSpPr/>
      </xdr:nvSpPr>
      <xdr:spPr>
        <a:xfrm>
          <a:off x="6539761" y="587586"/>
          <a:ext cx="1463040" cy="50292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Title 24: </a:t>
          </a:r>
          <a:r>
            <a:rPr lang="en-US" sz="1200" b="1"/>
            <a:t>Whole Building Models</a:t>
          </a:r>
        </a:p>
        <a:p>
          <a:pPr algn="ctr"/>
          <a:endParaRPr lang="en-US" sz="1800" b="1"/>
        </a:p>
      </xdr:txBody>
    </xdr:sp>
    <xdr:clientData/>
  </xdr:twoCellAnchor>
  <xdr:twoCellAnchor>
    <xdr:from>
      <xdr:col>12</xdr:col>
      <xdr:colOff>218951</xdr:colOff>
      <xdr:row>6</xdr:row>
      <xdr:rowOff>10514</xdr:rowOff>
    </xdr:from>
    <xdr:to>
      <xdr:col>12</xdr:col>
      <xdr:colOff>1548877</xdr:colOff>
      <xdr:row>6</xdr:row>
      <xdr:rowOff>274797</xdr:rowOff>
    </xdr:to>
    <xdr:sp macro="[2]!Field_DisplayFootnotes_Checklist_1_3_4_5" textlink="">
      <xdr:nvSpPr>
        <xdr:cNvPr id="14" name="Rectangle 13">
          <a:extLst>
            <a:ext uri="{FF2B5EF4-FFF2-40B4-BE49-F238E27FC236}">
              <a16:creationId xmlns:a16="http://schemas.microsoft.com/office/drawing/2014/main" id="{2959C9A5-93E6-F849-AB8C-B5D6442284F1}"/>
            </a:ext>
          </a:extLst>
        </xdr:cNvPr>
        <xdr:cNvSpPr/>
      </xdr:nvSpPr>
      <xdr:spPr>
        <a:xfrm>
          <a:off x="15179551" y="228381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9</xdr:row>
      <xdr:rowOff>40821</xdr:rowOff>
    </xdr:from>
    <xdr:to>
      <xdr:col>2</xdr:col>
      <xdr:colOff>7235427</xdr:colOff>
      <xdr:row>9</xdr:row>
      <xdr:rowOff>305104</xdr:rowOff>
    </xdr:to>
    <xdr:sp macro="[2]!HideFootnotes_Field" textlink="">
      <xdr:nvSpPr>
        <xdr:cNvPr id="15" name="Rectangle 14">
          <a:extLst>
            <a:ext uri="{FF2B5EF4-FFF2-40B4-BE49-F238E27FC236}">
              <a16:creationId xmlns:a16="http://schemas.microsoft.com/office/drawing/2014/main" id="{23AEC555-D5CD-1146-B5A6-FFF056DC6497}"/>
            </a:ext>
          </a:extLst>
        </xdr:cNvPr>
        <xdr:cNvSpPr/>
      </xdr:nvSpPr>
      <xdr:spPr>
        <a:xfrm>
          <a:off x="7416801" y="3276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20</xdr:row>
      <xdr:rowOff>24741</xdr:rowOff>
    </xdr:from>
    <xdr:to>
      <xdr:col>2</xdr:col>
      <xdr:colOff>7235427</xdr:colOff>
      <xdr:row>20</xdr:row>
      <xdr:rowOff>289024</xdr:rowOff>
    </xdr:to>
    <xdr:sp macro="[2]!HideFootnotes_Field" textlink="">
      <xdr:nvSpPr>
        <xdr:cNvPr id="16" name="Rectangle 15">
          <a:extLst>
            <a:ext uri="{FF2B5EF4-FFF2-40B4-BE49-F238E27FC236}">
              <a16:creationId xmlns:a16="http://schemas.microsoft.com/office/drawing/2014/main" id="{2DC4E8F7-BD23-C74A-B229-1ADA10C9866D}"/>
            </a:ext>
          </a:extLst>
        </xdr:cNvPr>
        <xdr:cNvSpPr/>
      </xdr:nvSpPr>
      <xdr:spPr>
        <a:xfrm>
          <a:off x="7416801" y="5232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23</xdr:row>
      <xdr:rowOff>24740</xdr:rowOff>
    </xdr:from>
    <xdr:to>
      <xdr:col>2</xdr:col>
      <xdr:colOff>7235427</xdr:colOff>
      <xdr:row>23</xdr:row>
      <xdr:rowOff>289023</xdr:rowOff>
    </xdr:to>
    <xdr:sp macro="[2]!HideFootnotes_Field" textlink="">
      <xdr:nvSpPr>
        <xdr:cNvPr id="17" name="Rectangle 16">
          <a:extLst>
            <a:ext uri="{FF2B5EF4-FFF2-40B4-BE49-F238E27FC236}">
              <a16:creationId xmlns:a16="http://schemas.microsoft.com/office/drawing/2014/main" id="{7835C10D-B7A7-6F44-A64C-70400F1BD991}"/>
            </a:ext>
          </a:extLst>
        </xdr:cNvPr>
        <xdr:cNvSpPr/>
      </xdr:nvSpPr>
      <xdr:spPr>
        <a:xfrm>
          <a:off x="7416801" y="5575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25</xdr:row>
      <xdr:rowOff>24741</xdr:rowOff>
    </xdr:from>
    <xdr:to>
      <xdr:col>2</xdr:col>
      <xdr:colOff>7235427</xdr:colOff>
      <xdr:row>25</xdr:row>
      <xdr:rowOff>289024</xdr:rowOff>
    </xdr:to>
    <xdr:sp macro="[2]!HideFootnotes_Field" textlink="">
      <xdr:nvSpPr>
        <xdr:cNvPr id="18" name="Rectangle 17">
          <a:extLst>
            <a:ext uri="{FF2B5EF4-FFF2-40B4-BE49-F238E27FC236}">
              <a16:creationId xmlns:a16="http://schemas.microsoft.com/office/drawing/2014/main" id="{E14D8155-35D2-9047-A944-7F8C011C5D54}"/>
            </a:ext>
          </a:extLst>
        </xdr:cNvPr>
        <xdr:cNvSpPr/>
      </xdr:nvSpPr>
      <xdr:spPr>
        <a:xfrm>
          <a:off x="7416801" y="61087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29</xdr:row>
      <xdr:rowOff>19793</xdr:rowOff>
    </xdr:from>
    <xdr:to>
      <xdr:col>2</xdr:col>
      <xdr:colOff>7235427</xdr:colOff>
      <xdr:row>29</xdr:row>
      <xdr:rowOff>284076</xdr:rowOff>
    </xdr:to>
    <xdr:sp macro="[2]!HideFootnotes_Field" textlink="">
      <xdr:nvSpPr>
        <xdr:cNvPr id="19" name="Rectangle 18">
          <a:extLst>
            <a:ext uri="{FF2B5EF4-FFF2-40B4-BE49-F238E27FC236}">
              <a16:creationId xmlns:a16="http://schemas.microsoft.com/office/drawing/2014/main" id="{AC1D4A74-4678-3546-88CB-94F5A579D9A3}"/>
            </a:ext>
          </a:extLst>
        </xdr:cNvPr>
        <xdr:cNvSpPr/>
      </xdr:nvSpPr>
      <xdr:spPr>
        <a:xfrm>
          <a:off x="7416801" y="7340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31</xdr:row>
      <xdr:rowOff>24739</xdr:rowOff>
    </xdr:from>
    <xdr:to>
      <xdr:col>2</xdr:col>
      <xdr:colOff>7235427</xdr:colOff>
      <xdr:row>31</xdr:row>
      <xdr:rowOff>289022</xdr:rowOff>
    </xdr:to>
    <xdr:sp macro="[2]!HideFootnotes_Field" textlink="">
      <xdr:nvSpPr>
        <xdr:cNvPr id="20" name="Rectangle 19">
          <a:extLst>
            <a:ext uri="{FF2B5EF4-FFF2-40B4-BE49-F238E27FC236}">
              <a16:creationId xmlns:a16="http://schemas.microsoft.com/office/drawing/2014/main" id="{78825279-170A-0542-90CB-5E1B0B352FF3}"/>
            </a:ext>
          </a:extLst>
        </xdr:cNvPr>
        <xdr:cNvSpPr/>
      </xdr:nvSpPr>
      <xdr:spPr>
        <a:xfrm>
          <a:off x="7416801" y="7721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35</xdr:row>
      <xdr:rowOff>39585</xdr:rowOff>
    </xdr:from>
    <xdr:to>
      <xdr:col>2</xdr:col>
      <xdr:colOff>7235427</xdr:colOff>
      <xdr:row>35</xdr:row>
      <xdr:rowOff>303868</xdr:rowOff>
    </xdr:to>
    <xdr:sp macro="[2]!HideFootnotes_Field" textlink="">
      <xdr:nvSpPr>
        <xdr:cNvPr id="21" name="Rectangle 20">
          <a:extLst>
            <a:ext uri="{FF2B5EF4-FFF2-40B4-BE49-F238E27FC236}">
              <a16:creationId xmlns:a16="http://schemas.microsoft.com/office/drawing/2014/main" id="{8ED9DFCC-C5E0-7242-B280-EACA87F0510D}"/>
            </a:ext>
          </a:extLst>
        </xdr:cNvPr>
        <xdr:cNvSpPr/>
      </xdr:nvSpPr>
      <xdr:spPr>
        <a:xfrm>
          <a:off x="7416801" y="9169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37</xdr:row>
      <xdr:rowOff>29688</xdr:rowOff>
    </xdr:from>
    <xdr:to>
      <xdr:col>2</xdr:col>
      <xdr:colOff>7235427</xdr:colOff>
      <xdr:row>37</xdr:row>
      <xdr:rowOff>293971</xdr:rowOff>
    </xdr:to>
    <xdr:sp macro="[2]!HideFootnotes_Field" textlink="">
      <xdr:nvSpPr>
        <xdr:cNvPr id="22" name="Rectangle 21">
          <a:extLst>
            <a:ext uri="{FF2B5EF4-FFF2-40B4-BE49-F238E27FC236}">
              <a16:creationId xmlns:a16="http://schemas.microsoft.com/office/drawing/2014/main" id="{574E0CFB-035B-8440-86BC-976612B26CCD}"/>
            </a:ext>
          </a:extLst>
        </xdr:cNvPr>
        <xdr:cNvSpPr/>
      </xdr:nvSpPr>
      <xdr:spPr>
        <a:xfrm>
          <a:off x="7416801" y="10287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40</xdr:row>
      <xdr:rowOff>34637</xdr:rowOff>
    </xdr:from>
    <xdr:to>
      <xdr:col>2</xdr:col>
      <xdr:colOff>7235427</xdr:colOff>
      <xdr:row>40</xdr:row>
      <xdr:rowOff>298920</xdr:rowOff>
    </xdr:to>
    <xdr:sp macro="[2]!HideFootnotes_Field" textlink="">
      <xdr:nvSpPr>
        <xdr:cNvPr id="23" name="Rectangle 22">
          <a:extLst>
            <a:ext uri="{FF2B5EF4-FFF2-40B4-BE49-F238E27FC236}">
              <a16:creationId xmlns:a16="http://schemas.microsoft.com/office/drawing/2014/main" id="{8CF87DA6-1E69-714E-8F5B-AE0F6FB6C9A8}"/>
            </a:ext>
          </a:extLst>
        </xdr:cNvPr>
        <xdr:cNvSpPr/>
      </xdr:nvSpPr>
      <xdr:spPr>
        <a:xfrm>
          <a:off x="7416801" y="11049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44</xdr:row>
      <xdr:rowOff>34635</xdr:rowOff>
    </xdr:from>
    <xdr:to>
      <xdr:col>2</xdr:col>
      <xdr:colOff>7235427</xdr:colOff>
      <xdr:row>44</xdr:row>
      <xdr:rowOff>298918</xdr:rowOff>
    </xdr:to>
    <xdr:sp macro="[2]!HideFootnotes_Field" textlink="">
      <xdr:nvSpPr>
        <xdr:cNvPr id="24" name="Rectangle 23">
          <a:extLst>
            <a:ext uri="{FF2B5EF4-FFF2-40B4-BE49-F238E27FC236}">
              <a16:creationId xmlns:a16="http://schemas.microsoft.com/office/drawing/2014/main" id="{530089E6-B7C6-1B43-B702-7549ED4E8172}"/>
            </a:ext>
          </a:extLst>
        </xdr:cNvPr>
        <xdr:cNvSpPr/>
      </xdr:nvSpPr>
      <xdr:spPr>
        <a:xfrm>
          <a:off x="7416801" y="12293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51</xdr:row>
      <xdr:rowOff>19793</xdr:rowOff>
    </xdr:from>
    <xdr:to>
      <xdr:col>2</xdr:col>
      <xdr:colOff>7235427</xdr:colOff>
      <xdr:row>51</xdr:row>
      <xdr:rowOff>284076</xdr:rowOff>
    </xdr:to>
    <xdr:sp macro="[2]!HideFootnotes_Field" textlink="">
      <xdr:nvSpPr>
        <xdr:cNvPr id="25" name="Rectangle 24">
          <a:extLst>
            <a:ext uri="{FF2B5EF4-FFF2-40B4-BE49-F238E27FC236}">
              <a16:creationId xmlns:a16="http://schemas.microsoft.com/office/drawing/2014/main" id="{9C4ED6C1-263B-8843-9B45-AA9D4ECF7CA4}"/>
            </a:ext>
          </a:extLst>
        </xdr:cNvPr>
        <xdr:cNvSpPr/>
      </xdr:nvSpPr>
      <xdr:spPr>
        <a:xfrm>
          <a:off x="7416801" y="13817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53</xdr:row>
      <xdr:rowOff>34636</xdr:rowOff>
    </xdr:from>
    <xdr:to>
      <xdr:col>2</xdr:col>
      <xdr:colOff>7235427</xdr:colOff>
      <xdr:row>53</xdr:row>
      <xdr:rowOff>298919</xdr:rowOff>
    </xdr:to>
    <xdr:sp macro="[2]!HideFootnotes_Field" textlink="">
      <xdr:nvSpPr>
        <xdr:cNvPr id="26" name="Rectangle 25">
          <a:extLst>
            <a:ext uri="{FF2B5EF4-FFF2-40B4-BE49-F238E27FC236}">
              <a16:creationId xmlns:a16="http://schemas.microsoft.com/office/drawing/2014/main" id="{59DC8C45-72BE-A14B-8B3F-6B5ED6E618D1}"/>
            </a:ext>
          </a:extLst>
        </xdr:cNvPr>
        <xdr:cNvSpPr/>
      </xdr:nvSpPr>
      <xdr:spPr>
        <a:xfrm>
          <a:off x="7416801" y="14325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56</xdr:row>
      <xdr:rowOff>29688</xdr:rowOff>
    </xdr:from>
    <xdr:to>
      <xdr:col>2</xdr:col>
      <xdr:colOff>7235427</xdr:colOff>
      <xdr:row>56</xdr:row>
      <xdr:rowOff>293971</xdr:rowOff>
    </xdr:to>
    <xdr:sp macro="[2]!HideFootnotes_Field" textlink="">
      <xdr:nvSpPr>
        <xdr:cNvPr id="27" name="Rectangle 26">
          <a:extLst>
            <a:ext uri="{FF2B5EF4-FFF2-40B4-BE49-F238E27FC236}">
              <a16:creationId xmlns:a16="http://schemas.microsoft.com/office/drawing/2014/main" id="{E4DE60A1-6850-B241-ABFC-256571EDB676}"/>
            </a:ext>
          </a:extLst>
        </xdr:cNvPr>
        <xdr:cNvSpPr/>
      </xdr:nvSpPr>
      <xdr:spPr>
        <a:xfrm>
          <a:off x="7416801" y="15354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59</xdr:row>
      <xdr:rowOff>24741</xdr:rowOff>
    </xdr:from>
    <xdr:to>
      <xdr:col>2</xdr:col>
      <xdr:colOff>7235427</xdr:colOff>
      <xdr:row>59</xdr:row>
      <xdr:rowOff>289024</xdr:rowOff>
    </xdr:to>
    <xdr:sp macro="[2]!HideFootnotes_Field" textlink="">
      <xdr:nvSpPr>
        <xdr:cNvPr id="28" name="Rectangle 27">
          <a:extLst>
            <a:ext uri="{FF2B5EF4-FFF2-40B4-BE49-F238E27FC236}">
              <a16:creationId xmlns:a16="http://schemas.microsoft.com/office/drawing/2014/main" id="{622FE1F9-CABC-8347-80D1-03A29B52979B}"/>
            </a:ext>
          </a:extLst>
        </xdr:cNvPr>
        <xdr:cNvSpPr/>
      </xdr:nvSpPr>
      <xdr:spPr>
        <a:xfrm>
          <a:off x="7416801" y="16090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61</xdr:row>
      <xdr:rowOff>24740</xdr:rowOff>
    </xdr:from>
    <xdr:to>
      <xdr:col>2</xdr:col>
      <xdr:colOff>7235427</xdr:colOff>
      <xdr:row>61</xdr:row>
      <xdr:rowOff>289023</xdr:rowOff>
    </xdr:to>
    <xdr:sp macro="[2]!HideFootnotes_Field" textlink="">
      <xdr:nvSpPr>
        <xdr:cNvPr id="29" name="Rectangle 28">
          <a:extLst>
            <a:ext uri="{FF2B5EF4-FFF2-40B4-BE49-F238E27FC236}">
              <a16:creationId xmlns:a16="http://schemas.microsoft.com/office/drawing/2014/main" id="{AD918762-C4F1-3A47-A64E-615AAE214029}"/>
            </a:ext>
          </a:extLst>
        </xdr:cNvPr>
        <xdr:cNvSpPr/>
      </xdr:nvSpPr>
      <xdr:spPr>
        <a:xfrm>
          <a:off x="7416801" y="16827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63</xdr:row>
      <xdr:rowOff>34636</xdr:rowOff>
    </xdr:from>
    <xdr:to>
      <xdr:col>2</xdr:col>
      <xdr:colOff>7235427</xdr:colOff>
      <xdr:row>63</xdr:row>
      <xdr:rowOff>298919</xdr:rowOff>
    </xdr:to>
    <xdr:sp macro="[2]!HideFootnotes_Field" textlink="">
      <xdr:nvSpPr>
        <xdr:cNvPr id="30" name="Rectangle 29">
          <a:extLst>
            <a:ext uri="{FF2B5EF4-FFF2-40B4-BE49-F238E27FC236}">
              <a16:creationId xmlns:a16="http://schemas.microsoft.com/office/drawing/2014/main" id="{543904AB-2238-764C-9818-EBF9E0DBADF8}"/>
            </a:ext>
          </a:extLst>
        </xdr:cNvPr>
        <xdr:cNvSpPr/>
      </xdr:nvSpPr>
      <xdr:spPr>
        <a:xfrm>
          <a:off x="7416801" y="17348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66</xdr:row>
      <xdr:rowOff>19792</xdr:rowOff>
    </xdr:from>
    <xdr:to>
      <xdr:col>2</xdr:col>
      <xdr:colOff>7235427</xdr:colOff>
      <xdr:row>66</xdr:row>
      <xdr:rowOff>284075</xdr:rowOff>
    </xdr:to>
    <xdr:sp macro="[2]!HideFootnotes_Field" textlink="">
      <xdr:nvSpPr>
        <xdr:cNvPr id="31" name="Rectangle 30">
          <a:extLst>
            <a:ext uri="{FF2B5EF4-FFF2-40B4-BE49-F238E27FC236}">
              <a16:creationId xmlns:a16="http://schemas.microsoft.com/office/drawing/2014/main" id="{E8A25E45-141B-2848-A70D-D688DAA5A690}"/>
            </a:ext>
          </a:extLst>
        </xdr:cNvPr>
        <xdr:cNvSpPr/>
      </xdr:nvSpPr>
      <xdr:spPr>
        <a:xfrm>
          <a:off x="7416801" y="17894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71</xdr:row>
      <xdr:rowOff>29688</xdr:rowOff>
    </xdr:from>
    <xdr:to>
      <xdr:col>2</xdr:col>
      <xdr:colOff>7235427</xdr:colOff>
      <xdr:row>71</xdr:row>
      <xdr:rowOff>293971</xdr:rowOff>
    </xdr:to>
    <xdr:sp macro="[2]!HideFootnotes_Field" textlink="">
      <xdr:nvSpPr>
        <xdr:cNvPr id="32" name="Rectangle 31">
          <a:extLst>
            <a:ext uri="{FF2B5EF4-FFF2-40B4-BE49-F238E27FC236}">
              <a16:creationId xmlns:a16="http://schemas.microsoft.com/office/drawing/2014/main" id="{FB3905DF-E7B1-5248-96A6-AED35C1116F3}"/>
            </a:ext>
          </a:extLst>
        </xdr:cNvPr>
        <xdr:cNvSpPr/>
      </xdr:nvSpPr>
      <xdr:spPr>
        <a:xfrm>
          <a:off x="7416801" y="18440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78</xdr:row>
      <xdr:rowOff>34636</xdr:rowOff>
    </xdr:from>
    <xdr:to>
      <xdr:col>2</xdr:col>
      <xdr:colOff>7235427</xdr:colOff>
      <xdr:row>78</xdr:row>
      <xdr:rowOff>298919</xdr:rowOff>
    </xdr:to>
    <xdr:sp macro="[2]!HideFootnotes_Field" textlink="">
      <xdr:nvSpPr>
        <xdr:cNvPr id="33" name="Rectangle 32">
          <a:extLst>
            <a:ext uri="{FF2B5EF4-FFF2-40B4-BE49-F238E27FC236}">
              <a16:creationId xmlns:a16="http://schemas.microsoft.com/office/drawing/2014/main" id="{AF2BC11C-BF20-F340-985E-E22A774570DA}"/>
            </a:ext>
          </a:extLst>
        </xdr:cNvPr>
        <xdr:cNvSpPr/>
      </xdr:nvSpPr>
      <xdr:spPr>
        <a:xfrm>
          <a:off x="7416801" y="19367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80</xdr:row>
      <xdr:rowOff>29689</xdr:rowOff>
    </xdr:from>
    <xdr:to>
      <xdr:col>2</xdr:col>
      <xdr:colOff>7235427</xdr:colOff>
      <xdr:row>80</xdr:row>
      <xdr:rowOff>293972</xdr:rowOff>
    </xdr:to>
    <xdr:sp macro="[2]!HideFootnotes_Field" textlink="">
      <xdr:nvSpPr>
        <xdr:cNvPr id="34" name="Rectangle 33">
          <a:extLst>
            <a:ext uri="{FF2B5EF4-FFF2-40B4-BE49-F238E27FC236}">
              <a16:creationId xmlns:a16="http://schemas.microsoft.com/office/drawing/2014/main" id="{C36F46B7-5577-E44A-ACFF-3D75EDBF7FA8}"/>
            </a:ext>
          </a:extLst>
        </xdr:cNvPr>
        <xdr:cNvSpPr/>
      </xdr:nvSpPr>
      <xdr:spPr>
        <a:xfrm>
          <a:off x="7416801" y="19913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82</xdr:row>
      <xdr:rowOff>24740</xdr:rowOff>
    </xdr:from>
    <xdr:to>
      <xdr:col>2</xdr:col>
      <xdr:colOff>7235427</xdr:colOff>
      <xdr:row>82</xdr:row>
      <xdr:rowOff>289023</xdr:rowOff>
    </xdr:to>
    <xdr:sp macro="[2]!HideFootnotes_Field" textlink="">
      <xdr:nvSpPr>
        <xdr:cNvPr id="35" name="Rectangle 34">
          <a:extLst>
            <a:ext uri="{FF2B5EF4-FFF2-40B4-BE49-F238E27FC236}">
              <a16:creationId xmlns:a16="http://schemas.microsoft.com/office/drawing/2014/main" id="{993AD296-337B-4146-B298-935C4F054895}"/>
            </a:ext>
          </a:extLst>
        </xdr:cNvPr>
        <xdr:cNvSpPr/>
      </xdr:nvSpPr>
      <xdr:spPr>
        <a:xfrm>
          <a:off x="7416801" y="20434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89</xdr:row>
      <xdr:rowOff>29688</xdr:rowOff>
    </xdr:from>
    <xdr:to>
      <xdr:col>2</xdr:col>
      <xdr:colOff>7235427</xdr:colOff>
      <xdr:row>89</xdr:row>
      <xdr:rowOff>293971</xdr:rowOff>
    </xdr:to>
    <xdr:sp macro="[2]!HideFootnotes_Field" textlink="">
      <xdr:nvSpPr>
        <xdr:cNvPr id="36" name="Rectangle 35">
          <a:extLst>
            <a:ext uri="{FF2B5EF4-FFF2-40B4-BE49-F238E27FC236}">
              <a16:creationId xmlns:a16="http://schemas.microsoft.com/office/drawing/2014/main" id="{AF69D3B5-48CF-1A4A-BE99-AD0E20A6F008}"/>
            </a:ext>
          </a:extLst>
        </xdr:cNvPr>
        <xdr:cNvSpPr/>
      </xdr:nvSpPr>
      <xdr:spPr>
        <a:xfrm>
          <a:off x="7416801" y="23164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94</xdr:row>
      <xdr:rowOff>34636</xdr:rowOff>
    </xdr:from>
    <xdr:to>
      <xdr:col>2</xdr:col>
      <xdr:colOff>7235427</xdr:colOff>
      <xdr:row>94</xdr:row>
      <xdr:rowOff>298919</xdr:rowOff>
    </xdr:to>
    <xdr:sp macro="[2]!HideFootnotes_Field" textlink="">
      <xdr:nvSpPr>
        <xdr:cNvPr id="37" name="Rectangle 36">
          <a:extLst>
            <a:ext uri="{FF2B5EF4-FFF2-40B4-BE49-F238E27FC236}">
              <a16:creationId xmlns:a16="http://schemas.microsoft.com/office/drawing/2014/main" id="{6139E284-DADD-F343-BD9F-757DDD679A15}"/>
            </a:ext>
          </a:extLst>
        </xdr:cNvPr>
        <xdr:cNvSpPr/>
      </xdr:nvSpPr>
      <xdr:spPr>
        <a:xfrm>
          <a:off x="7416801" y="24676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100</xdr:row>
      <xdr:rowOff>24740</xdr:rowOff>
    </xdr:from>
    <xdr:to>
      <xdr:col>2</xdr:col>
      <xdr:colOff>7235427</xdr:colOff>
      <xdr:row>100</xdr:row>
      <xdr:rowOff>289023</xdr:rowOff>
    </xdr:to>
    <xdr:sp macro="[2]!HideFootnotes_Field" textlink="">
      <xdr:nvSpPr>
        <xdr:cNvPr id="38" name="Rectangle 37">
          <a:extLst>
            <a:ext uri="{FF2B5EF4-FFF2-40B4-BE49-F238E27FC236}">
              <a16:creationId xmlns:a16="http://schemas.microsoft.com/office/drawing/2014/main" id="{AA0BF9F8-F846-A649-8DBB-D804051A9CFE}"/>
            </a:ext>
          </a:extLst>
        </xdr:cNvPr>
        <xdr:cNvSpPr/>
      </xdr:nvSpPr>
      <xdr:spPr>
        <a:xfrm>
          <a:off x="7416801" y="26987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102</xdr:row>
      <xdr:rowOff>29688</xdr:rowOff>
    </xdr:from>
    <xdr:to>
      <xdr:col>2</xdr:col>
      <xdr:colOff>7235427</xdr:colOff>
      <xdr:row>102</xdr:row>
      <xdr:rowOff>293971</xdr:rowOff>
    </xdr:to>
    <xdr:sp macro="[2]!HideFootnotes_Field" textlink="">
      <xdr:nvSpPr>
        <xdr:cNvPr id="39" name="Rectangle 38">
          <a:extLst>
            <a:ext uri="{FF2B5EF4-FFF2-40B4-BE49-F238E27FC236}">
              <a16:creationId xmlns:a16="http://schemas.microsoft.com/office/drawing/2014/main" id="{FEB4BD6C-B586-3849-9465-6BC071D92E40}"/>
            </a:ext>
          </a:extLst>
        </xdr:cNvPr>
        <xdr:cNvSpPr/>
      </xdr:nvSpPr>
      <xdr:spPr>
        <a:xfrm>
          <a:off x="7416801" y="27305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113</xdr:row>
      <xdr:rowOff>29689</xdr:rowOff>
    </xdr:from>
    <xdr:to>
      <xdr:col>2</xdr:col>
      <xdr:colOff>7235427</xdr:colOff>
      <xdr:row>113</xdr:row>
      <xdr:rowOff>293972</xdr:rowOff>
    </xdr:to>
    <xdr:sp macro="[2]!HideFootnotes_Field" textlink="">
      <xdr:nvSpPr>
        <xdr:cNvPr id="40" name="Rectangle 39">
          <a:extLst>
            <a:ext uri="{FF2B5EF4-FFF2-40B4-BE49-F238E27FC236}">
              <a16:creationId xmlns:a16="http://schemas.microsoft.com/office/drawing/2014/main" id="{B0149933-F218-E24F-A8EF-C7DF31DB5AD3}"/>
            </a:ext>
          </a:extLst>
        </xdr:cNvPr>
        <xdr:cNvSpPr/>
      </xdr:nvSpPr>
      <xdr:spPr>
        <a:xfrm>
          <a:off x="7416801" y="30937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119</xdr:row>
      <xdr:rowOff>34636</xdr:rowOff>
    </xdr:from>
    <xdr:to>
      <xdr:col>2</xdr:col>
      <xdr:colOff>7235427</xdr:colOff>
      <xdr:row>119</xdr:row>
      <xdr:rowOff>298919</xdr:rowOff>
    </xdr:to>
    <xdr:sp macro="[2]!HideFootnotes_Field" textlink="">
      <xdr:nvSpPr>
        <xdr:cNvPr id="41" name="Rectangle 40">
          <a:extLst>
            <a:ext uri="{FF2B5EF4-FFF2-40B4-BE49-F238E27FC236}">
              <a16:creationId xmlns:a16="http://schemas.microsoft.com/office/drawing/2014/main" id="{A6E11AE0-B346-6847-A02D-2DC6BEF295E7}"/>
            </a:ext>
          </a:extLst>
        </xdr:cNvPr>
        <xdr:cNvSpPr/>
      </xdr:nvSpPr>
      <xdr:spPr>
        <a:xfrm>
          <a:off x="7416801" y="34137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121</xdr:row>
      <xdr:rowOff>29688</xdr:rowOff>
    </xdr:from>
    <xdr:to>
      <xdr:col>2</xdr:col>
      <xdr:colOff>7235427</xdr:colOff>
      <xdr:row>121</xdr:row>
      <xdr:rowOff>293971</xdr:rowOff>
    </xdr:to>
    <xdr:sp macro="[2]!HideFootnotes_Field" textlink="">
      <xdr:nvSpPr>
        <xdr:cNvPr id="42" name="Rectangle 41">
          <a:extLst>
            <a:ext uri="{FF2B5EF4-FFF2-40B4-BE49-F238E27FC236}">
              <a16:creationId xmlns:a16="http://schemas.microsoft.com/office/drawing/2014/main" id="{2E991F9D-EEB0-4449-92E8-5A9D6BCB61DE}"/>
            </a:ext>
          </a:extLst>
        </xdr:cNvPr>
        <xdr:cNvSpPr/>
      </xdr:nvSpPr>
      <xdr:spPr>
        <a:xfrm>
          <a:off x="7416801" y="35331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136</xdr:row>
      <xdr:rowOff>24740</xdr:rowOff>
    </xdr:from>
    <xdr:to>
      <xdr:col>2</xdr:col>
      <xdr:colOff>7235427</xdr:colOff>
      <xdr:row>136</xdr:row>
      <xdr:rowOff>289023</xdr:rowOff>
    </xdr:to>
    <xdr:sp macro="[2]!HideFootnotes_Field" textlink="">
      <xdr:nvSpPr>
        <xdr:cNvPr id="43" name="Rectangle 42">
          <a:extLst>
            <a:ext uri="{FF2B5EF4-FFF2-40B4-BE49-F238E27FC236}">
              <a16:creationId xmlns:a16="http://schemas.microsoft.com/office/drawing/2014/main" id="{B95DBF84-EF35-194E-8B4F-D976AEC6C542}"/>
            </a:ext>
          </a:extLst>
        </xdr:cNvPr>
        <xdr:cNvSpPr/>
      </xdr:nvSpPr>
      <xdr:spPr>
        <a:xfrm>
          <a:off x="7416801" y="42443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138</xdr:row>
      <xdr:rowOff>19792</xdr:rowOff>
    </xdr:from>
    <xdr:to>
      <xdr:col>2</xdr:col>
      <xdr:colOff>7235427</xdr:colOff>
      <xdr:row>138</xdr:row>
      <xdr:rowOff>284075</xdr:rowOff>
    </xdr:to>
    <xdr:sp macro="[2]!HideFootnotes_Field" textlink="">
      <xdr:nvSpPr>
        <xdr:cNvPr id="44" name="Rectangle 43">
          <a:extLst>
            <a:ext uri="{FF2B5EF4-FFF2-40B4-BE49-F238E27FC236}">
              <a16:creationId xmlns:a16="http://schemas.microsoft.com/office/drawing/2014/main" id="{918995DF-DFF9-2E41-8F19-EF32550D5C71}"/>
            </a:ext>
          </a:extLst>
        </xdr:cNvPr>
        <xdr:cNvSpPr/>
      </xdr:nvSpPr>
      <xdr:spPr>
        <a:xfrm>
          <a:off x="7416801" y="43522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140</xdr:row>
      <xdr:rowOff>29688</xdr:rowOff>
    </xdr:from>
    <xdr:to>
      <xdr:col>2</xdr:col>
      <xdr:colOff>7235427</xdr:colOff>
      <xdr:row>140</xdr:row>
      <xdr:rowOff>293971</xdr:rowOff>
    </xdr:to>
    <xdr:sp macro="[2]!HideFootnotes_Field" textlink="">
      <xdr:nvSpPr>
        <xdr:cNvPr id="45" name="Rectangle 44">
          <a:extLst>
            <a:ext uri="{FF2B5EF4-FFF2-40B4-BE49-F238E27FC236}">
              <a16:creationId xmlns:a16="http://schemas.microsoft.com/office/drawing/2014/main" id="{E1E97036-E780-474A-BD70-2D445009F49E}"/>
            </a:ext>
          </a:extLst>
        </xdr:cNvPr>
        <xdr:cNvSpPr/>
      </xdr:nvSpPr>
      <xdr:spPr>
        <a:xfrm>
          <a:off x="7416801" y="44069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143</xdr:row>
      <xdr:rowOff>24740</xdr:rowOff>
    </xdr:from>
    <xdr:to>
      <xdr:col>2</xdr:col>
      <xdr:colOff>7235427</xdr:colOff>
      <xdr:row>143</xdr:row>
      <xdr:rowOff>289023</xdr:rowOff>
    </xdr:to>
    <xdr:sp macro="[2]!HideFootnotes_Field" textlink="">
      <xdr:nvSpPr>
        <xdr:cNvPr id="46" name="Rectangle 45">
          <a:extLst>
            <a:ext uri="{FF2B5EF4-FFF2-40B4-BE49-F238E27FC236}">
              <a16:creationId xmlns:a16="http://schemas.microsoft.com/office/drawing/2014/main" id="{AE05D5DC-D1D8-5E4D-BA1A-28D372301075}"/>
            </a:ext>
          </a:extLst>
        </xdr:cNvPr>
        <xdr:cNvSpPr/>
      </xdr:nvSpPr>
      <xdr:spPr>
        <a:xfrm>
          <a:off x="7416801" y="45046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146</xdr:row>
      <xdr:rowOff>24740</xdr:rowOff>
    </xdr:from>
    <xdr:to>
      <xdr:col>2</xdr:col>
      <xdr:colOff>7235427</xdr:colOff>
      <xdr:row>146</xdr:row>
      <xdr:rowOff>289023</xdr:rowOff>
    </xdr:to>
    <xdr:sp macro="[2]!HideFootnotes_Field" textlink="">
      <xdr:nvSpPr>
        <xdr:cNvPr id="47" name="Rectangle 46">
          <a:extLst>
            <a:ext uri="{FF2B5EF4-FFF2-40B4-BE49-F238E27FC236}">
              <a16:creationId xmlns:a16="http://schemas.microsoft.com/office/drawing/2014/main" id="{3875A949-65E1-1D44-92AE-293F9FB59CCA}"/>
            </a:ext>
          </a:extLst>
        </xdr:cNvPr>
        <xdr:cNvSpPr/>
      </xdr:nvSpPr>
      <xdr:spPr>
        <a:xfrm>
          <a:off x="7416801" y="47396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149</xdr:row>
      <xdr:rowOff>19792</xdr:rowOff>
    </xdr:from>
    <xdr:to>
      <xdr:col>2</xdr:col>
      <xdr:colOff>7235427</xdr:colOff>
      <xdr:row>149</xdr:row>
      <xdr:rowOff>284075</xdr:rowOff>
    </xdr:to>
    <xdr:sp macro="[2]!HideFootnotes_Field" textlink="">
      <xdr:nvSpPr>
        <xdr:cNvPr id="48" name="Rectangle 47">
          <a:extLst>
            <a:ext uri="{FF2B5EF4-FFF2-40B4-BE49-F238E27FC236}">
              <a16:creationId xmlns:a16="http://schemas.microsoft.com/office/drawing/2014/main" id="{4C4D758B-65CD-E84F-A56C-0AEF62622592}"/>
            </a:ext>
          </a:extLst>
        </xdr:cNvPr>
        <xdr:cNvSpPr/>
      </xdr:nvSpPr>
      <xdr:spPr>
        <a:xfrm>
          <a:off x="7416801" y="49809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152</xdr:row>
      <xdr:rowOff>39585</xdr:rowOff>
    </xdr:from>
    <xdr:to>
      <xdr:col>2</xdr:col>
      <xdr:colOff>7235427</xdr:colOff>
      <xdr:row>152</xdr:row>
      <xdr:rowOff>303868</xdr:rowOff>
    </xdr:to>
    <xdr:sp macro="[2]!HideFootnotes_Field" textlink="">
      <xdr:nvSpPr>
        <xdr:cNvPr id="49" name="Rectangle 48">
          <a:extLst>
            <a:ext uri="{FF2B5EF4-FFF2-40B4-BE49-F238E27FC236}">
              <a16:creationId xmlns:a16="http://schemas.microsoft.com/office/drawing/2014/main" id="{161A5CFF-5321-6148-A4C5-0455C9B07008}"/>
            </a:ext>
          </a:extLst>
        </xdr:cNvPr>
        <xdr:cNvSpPr/>
      </xdr:nvSpPr>
      <xdr:spPr>
        <a:xfrm>
          <a:off x="7416801" y="50393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157</xdr:row>
      <xdr:rowOff>29688</xdr:rowOff>
    </xdr:from>
    <xdr:to>
      <xdr:col>2</xdr:col>
      <xdr:colOff>7235427</xdr:colOff>
      <xdr:row>157</xdr:row>
      <xdr:rowOff>293971</xdr:rowOff>
    </xdr:to>
    <xdr:sp macro="[2]!HideFootnotes_Field" textlink="">
      <xdr:nvSpPr>
        <xdr:cNvPr id="50" name="Rectangle 49">
          <a:extLst>
            <a:ext uri="{FF2B5EF4-FFF2-40B4-BE49-F238E27FC236}">
              <a16:creationId xmlns:a16="http://schemas.microsoft.com/office/drawing/2014/main" id="{45EB42F3-0ACA-8042-8CCC-4FA86EC56CDD}"/>
            </a:ext>
          </a:extLst>
        </xdr:cNvPr>
        <xdr:cNvSpPr/>
      </xdr:nvSpPr>
      <xdr:spPr>
        <a:xfrm>
          <a:off x="7416801" y="51803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162</xdr:row>
      <xdr:rowOff>29689</xdr:rowOff>
    </xdr:from>
    <xdr:to>
      <xdr:col>2</xdr:col>
      <xdr:colOff>7235427</xdr:colOff>
      <xdr:row>162</xdr:row>
      <xdr:rowOff>293972</xdr:rowOff>
    </xdr:to>
    <xdr:sp macro="[2]!HideFootnotes_Field" textlink="">
      <xdr:nvSpPr>
        <xdr:cNvPr id="51" name="Rectangle 50">
          <a:extLst>
            <a:ext uri="{FF2B5EF4-FFF2-40B4-BE49-F238E27FC236}">
              <a16:creationId xmlns:a16="http://schemas.microsoft.com/office/drawing/2014/main" id="{5EAAFA52-E54B-1341-B9C6-3987A034DED7}"/>
            </a:ext>
          </a:extLst>
        </xdr:cNvPr>
        <xdr:cNvSpPr/>
      </xdr:nvSpPr>
      <xdr:spPr>
        <a:xfrm>
          <a:off x="7416801" y="53492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164</xdr:row>
      <xdr:rowOff>24740</xdr:rowOff>
    </xdr:from>
    <xdr:to>
      <xdr:col>2</xdr:col>
      <xdr:colOff>7235427</xdr:colOff>
      <xdr:row>164</xdr:row>
      <xdr:rowOff>289023</xdr:rowOff>
    </xdr:to>
    <xdr:sp macro="[2]!HideFootnotes_Field" textlink="">
      <xdr:nvSpPr>
        <xdr:cNvPr id="52" name="Rectangle 51">
          <a:extLst>
            <a:ext uri="{FF2B5EF4-FFF2-40B4-BE49-F238E27FC236}">
              <a16:creationId xmlns:a16="http://schemas.microsoft.com/office/drawing/2014/main" id="{0A9DA580-D8AA-6240-813D-67EAC831F8C1}"/>
            </a:ext>
          </a:extLst>
        </xdr:cNvPr>
        <xdr:cNvSpPr/>
      </xdr:nvSpPr>
      <xdr:spPr>
        <a:xfrm>
          <a:off x="7416801" y="54089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166</xdr:row>
      <xdr:rowOff>19792</xdr:rowOff>
    </xdr:from>
    <xdr:to>
      <xdr:col>2</xdr:col>
      <xdr:colOff>7235427</xdr:colOff>
      <xdr:row>166</xdr:row>
      <xdr:rowOff>284075</xdr:rowOff>
    </xdr:to>
    <xdr:sp macro="[2]!HideFootnotes_Field" textlink="">
      <xdr:nvSpPr>
        <xdr:cNvPr id="53" name="Rectangle 52">
          <a:extLst>
            <a:ext uri="{FF2B5EF4-FFF2-40B4-BE49-F238E27FC236}">
              <a16:creationId xmlns:a16="http://schemas.microsoft.com/office/drawing/2014/main" id="{42DBAEC8-C6CE-EA41-9115-AABEBD24F0A3}"/>
            </a:ext>
          </a:extLst>
        </xdr:cNvPr>
        <xdr:cNvSpPr/>
      </xdr:nvSpPr>
      <xdr:spPr>
        <a:xfrm>
          <a:off x="7416801" y="54635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170</xdr:row>
      <xdr:rowOff>24740</xdr:rowOff>
    </xdr:from>
    <xdr:to>
      <xdr:col>2</xdr:col>
      <xdr:colOff>7235427</xdr:colOff>
      <xdr:row>170</xdr:row>
      <xdr:rowOff>289023</xdr:rowOff>
    </xdr:to>
    <xdr:sp macro="[2]!HideFootnotes_Field" textlink="">
      <xdr:nvSpPr>
        <xdr:cNvPr id="54" name="Rectangle 53">
          <a:extLst>
            <a:ext uri="{FF2B5EF4-FFF2-40B4-BE49-F238E27FC236}">
              <a16:creationId xmlns:a16="http://schemas.microsoft.com/office/drawing/2014/main" id="{9F8D6562-0717-794B-B6A2-85111A19074D}"/>
            </a:ext>
          </a:extLst>
        </xdr:cNvPr>
        <xdr:cNvSpPr/>
      </xdr:nvSpPr>
      <xdr:spPr>
        <a:xfrm>
          <a:off x="7416801" y="56578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173</xdr:row>
      <xdr:rowOff>24740</xdr:rowOff>
    </xdr:from>
    <xdr:to>
      <xdr:col>2</xdr:col>
      <xdr:colOff>7235427</xdr:colOff>
      <xdr:row>173</xdr:row>
      <xdr:rowOff>289023</xdr:rowOff>
    </xdr:to>
    <xdr:sp macro="[2]!HideFootnotes_Field" textlink="">
      <xdr:nvSpPr>
        <xdr:cNvPr id="55" name="Rectangle 54">
          <a:extLst>
            <a:ext uri="{FF2B5EF4-FFF2-40B4-BE49-F238E27FC236}">
              <a16:creationId xmlns:a16="http://schemas.microsoft.com/office/drawing/2014/main" id="{36BB3656-DAB8-BD45-B789-6793BC097D38}"/>
            </a:ext>
          </a:extLst>
        </xdr:cNvPr>
        <xdr:cNvSpPr/>
      </xdr:nvSpPr>
      <xdr:spPr>
        <a:xfrm>
          <a:off x="7416801" y="57810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176</xdr:row>
      <xdr:rowOff>29687</xdr:rowOff>
    </xdr:from>
    <xdr:to>
      <xdr:col>2</xdr:col>
      <xdr:colOff>7235427</xdr:colOff>
      <xdr:row>176</xdr:row>
      <xdr:rowOff>293970</xdr:rowOff>
    </xdr:to>
    <xdr:sp macro="[2]!HideFootnotes_Field" textlink="">
      <xdr:nvSpPr>
        <xdr:cNvPr id="56" name="Rectangle 55">
          <a:extLst>
            <a:ext uri="{FF2B5EF4-FFF2-40B4-BE49-F238E27FC236}">
              <a16:creationId xmlns:a16="http://schemas.microsoft.com/office/drawing/2014/main" id="{651BE59C-1FAE-7D44-B960-3F68CC8EB2F3}"/>
            </a:ext>
          </a:extLst>
        </xdr:cNvPr>
        <xdr:cNvSpPr/>
      </xdr:nvSpPr>
      <xdr:spPr>
        <a:xfrm>
          <a:off x="7416801" y="59004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183</xdr:row>
      <xdr:rowOff>24740</xdr:rowOff>
    </xdr:from>
    <xdr:to>
      <xdr:col>2</xdr:col>
      <xdr:colOff>7235427</xdr:colOff>
      <xdr:row>183</xdr:row>
      <xdr:rowOff>289023</xdr:rowOff>
    </xdr:to>
    <xdr:sp macro="[2]!HideFootnotes_Field" textlink="">
      <xdr:nvSpPr>
        <xdr:cNvPr id="57" name="Rectangle 56">
          <a:extLst>
            <a:ext uri="{FF2B5EF4-FFF2-40B4-BE49-F238E27FC236}">
              <a16:creationId xmlns:a16="http://schemas.microsoft.com/office/drawing/2014/main" id="{96F55703-432F-EB49-8878-901E7E849066}"/>
            </a:ext>
          </a:extLst>
        </xdr:cNvPr>
        <xdr:cNvSpPr/>
      </xdr:nvSpPr>
      <xdr:spPr>
        <a:xfrm>
          <a:off x="7416801" y="61163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194</xdr:row>
      <xdr:rowOff>34636</xdr:rowOff>
    </xdr:from>
    <xdr:to>
      <xdr:col>2</xdr:col>
      <xdr:colOff>7235427</xdr:colOff>
      <xdr:row>194</xdr:row>
      <xdr:rowOff>298919</xdr:rowOff>
    </xdr:to>
    <xdr:sp macro="[2]!HideFootnotes_Field" textlink="">
      <xdr:nvSpPr>
        <xdr:cNvPr id="58" name="Rectangle 57">
          <a:extLst>
            <a:ext uri="{FF2B5EF4-FFF2-40B4-BE49-F238E27FC236}">
              <a16:creationId xmlns:a16="http://schemas.microsoft.com/office/drawing/2014/main" id="{9EC745A8-2D10-7940-BCEA-E520488BFD3C}"/>
            </a:ext>
          </a:extLst>
        </xdr:cNvPr>
        <xdr:cNvSpPr/>
      </xdr:nvSpPr>
      <xdr:spPr>
        <a:xfrm>
          <a:off x="7416801" y="65176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196</xdr:row>
      <xdr:rowOff>19792</xdr:rowOff>
    </xdr:from>
    <xdr:to>
      <xdr:col>2</xdr:col>
      <xdr:colOff>7235427</xdr:colOff>
      <xdr:row>196</xdr:row>
      <xdr:rowOff>284075</xdr:rowOff>
    </xdr:to>
    <xdr:sp macro="[2]!HideFootnotes_Field" textlink="">
      <xdr:nvSpPr>
        <xdr:cNvPr id="59" name="Rectangle 58">
          <a:extLst>
            <a:ext uri="{FF2B5EF4-FFF2-40B4-BE49-F238E27FC236}">
              <a16:creationId xmlns:a16="http://schemas.microsoft.com/office/drawing/2014/main" id="{9022A504-A730-FF4B-BB18-0AA5A5C0DED1}"/>
            </a:ext>
          </a:extLst>
        </xdr:cNvPr>
        <xdr:cNvSpPr/>
      </xdr:nvSpPr>
      <xdr:spPr>
        <a:xfrm>
          <a:off x="7416801" y="65455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200</xdr:row>
      <xdr:rowOff>24740</xdr:rowOff>
    </xdr:from>
    <xdr:to>
      <xdr:col>2</xdr:col>
      <xdr:colOff>7235427</xdr:colOff>
      <xdr:row>200</xdr:row>
      <xdr:rowOff>289023</xdr:rowOff>
    </xdr:to>
    <xdr:sp macro="[2]!HideFootnotes_Field" textlink="">
      <xdr:nvSpPr>
        <xdr:cNvPr id="60" name="Rectangle 59">
          <a:extLst>
            <a:ext uri="{FF2B5EF4-FFF2-40B4-BE49-F238E27FC236}">
              <a16:creationId xmlns:a16="http://schemas.microsoft.com/office/drawing/2014/main" id="{9CCCAC75-51FE-0746-ACCB-51A3357996D2}"/>
            </a:ext>
          </a:extLst>
        </xdr:cNvPr>
        <xdr:cNvSpPr/>
      </xdr:nvSpPr>
      <xdr:spPr>
        <a:xfrm>
          <a:off x="7416801" y="66878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202</xdr:row>
      <xdr:rowOff>24740</xdr:rowOff>
    </xdr:from>
    <xdr:to>
      <xdr:col>2</xdr:col>
      <xdr:colOff>7235427</xdr:colOff>
      <xdr:row>202</xdr:row>
      <xdr:rowOff>289023</xdr:rowOff>
    </xdr:to>
    <xdr:sp macro="[2]!HideFootnotes_Field" textlink="">
      <xdr:nvSpPr>
        <xdr:cNvPr id="61" name="Rectangle 60">
          <a:extLst>
            <a:ext uri="{FF2B5EF4-FFF2-40B4-BE49-F238E27FC236}">
              <a16:creationId xmlns:a16="http://schemas.microsoft.com/office/drawing/2014/main" id="{A2AC9EEA-C999-184A-916E-1B1AFB8CC567}"/>
            </a:ext>
          </a:extLst>
        </xdr:cNvPr>
        <xdr:cNvSpPr/>
      </xdr:nvSpPr>
      <xdr:spPr>
        <a:xfrm>
          <a:off x="7416801" y="67437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206</xdr:row>
      <xdr:rowOff>19792</xdr:rowOff>
    </xdr:from>
    <xdr:to>
      <xdr:col>2</xdr:col>
      <xdr:colOff>7235427</xdr:colOff>
      <xdr:row>206</xdr:row>
      <xdr:rowOff>284075</xdr:rowOff>
    </xdr:to>
    <xdr:sp macro="[2]!HideFootnotes_Field" textlink="">
      <xdr:nvSpPr>
        <xdr:cNvPr id="62" name="Rectangle 61">
          <a:extLst>
            <a:ext uri="{FF2B5EF4-FFF2-40B4-BE49-F238E27FC236}">
              <a16:creationId xmlns:a16="http://schemas.microsoft.com/office/drawing/2014/main" id="{8FA13FCC-A5FF-FE48-8963-51733258D248}"/>
            </a:ext>
          </a:extLst>
        </xdr:cNvPr>
        <xdr:cNvSpPr/>
      </xdr:nvSpPr>
      <xdr:spPr>
        <a:xfrm>
          <a:off x="7416801" y="69037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210</xdr:row>
      <xdr:rowOff>19792</xdr:rowOff>
    </xdr:from>
    <xdr:to>
      <xdr:col>2</xdr:col>
      <xdr:colOff>7235427</xdr:colOff>
      <xdr:row>210</xdr:row>
      <xdr:rowOff>284075</xdr:rowOff>
    </xdr:to>
    <xdr:sp macro="[2]!HideFootnotes_Field" textlink="">
      <xdr:nvSpPr>
        <xdr:cNvPr id="63" name="Rectangle 62">
          <a:extLst>
            <a:ext uri="{FF2B5EF4-FFF2-40B4-BE49-F238E27FC236}">
              <a16:creationId xmlns:a16="http://schemas.microsoft.com/office/drawing/2014/main" id="{69C5697D-78EB-FE47-A282-CE35406AD062}"/>
            </a:ext>
          </a:extLst>
        </xdr:cNvPr>
        <xdr:cNvSpPr/>
      </xdr:nvSpPr>
      <xdr:spPr>
        <a:xfrm>
          <a:off x="7416801" y="69519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213</xdr:row>
      <xdr:rowOff>24740</xdr:rowOff>
    </xdr:from>
    <xdr:to>
      <xdr:col>2</xdr:col>
      <xdr:colOff>7235427</xdr:colOff>
      <xdr:row>213</xdr:row>
      <xdr:rowOff>289023</xdr:rowOff>
    </xdr:to>
    <xdr:sp macro="[2]!HideFootnotes_Field" textlink="">
      <xdr:nvSpPr>
        <xdr:cNvPr id="64" name="Rectangle 63">
          <a:extLst>
            <a:ext uri="{FF2B5EF4-FFF2-40B4-BE49-F238E27FC236}">
              <a16:creationId xmlns:a16="http://schemas.microsoft.com/office/drawing/2014/main" id="{BB5C8AD3-4C23-B345-8BC4-FF2FE05A1FD9}"/>
            </a:ext>
          </a:extLst>
        </xdr:cNvPr>
        <xdr:cNvSpPr/>
      </xdr:nvSpPr>
      <xdr:spPr>
        <a:xfrm>
          <a:off x="7416801" y="70269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217</xdr:row>
      <xdr:rowOff>34637</xdr:rowOff>
    </xdr:from>
    <xdr:to>
      <xdr:col>2</xdr:col>
      <xdr:colOff>7235427</xdr:colOff>
      <xdr:row>217</xdr:row>
      <xdr:rowOff>298920</xdr:rowOff>
    </xdr:to>
    <xdr:sp macro="[2]!HideFootnotes_Field" textlink="">
      <xdr:nvSpPr>
        <xdr:cNvPr id="65" name="Rectangle 64">
          <a:extLst>
            <a:ext uri="{FF2B5EF4-FFF2-40B4-BE49-F238E27FC236}">
              <a16:creationId xmlns:a16="http://schemas.microsoft.com/office/drawing/2014/main" id="{5557F27D-9FDA-814F-B1A8-0AE2750D29E4}"/>
            </a:ext>
          </a:extLst>
        </xdr:cNvPr>
        <xdr:cNvSpPr/>
      </xdr:nvSpPr>
      <xdr:spPr>
        <a:xfrm>
          <a:off x="7416801" y="71475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219</xdr:row>
      <xdr:rowOff>39585</xdr:rowOff>
    </xdr:from>
    <xdr:to>
      <xdr:col>2</xdr:col>
      <xdr:colOff>7235427</xdr:colOff>
      <xdr:row>219</xdr:row>
      <xdr:rowOff>303868</xdr:rowOff>
    </xdr:to>
    <xdr:sp macro="[2]!HideFootnotes_Field" textlink="">
      <xdr:nvSpPr>
        <xdr:cNvPr id="66" name="Rectangle 65">
          <a:extLst>
            <a:ext uri="{FF2B5EF4-FFF2-40B4-BE49-F238E27FC236}">
              <a16:creationId xmlns:a16="http://schemas.microsoft.com/office/drawing/2014/main" id="{8F308286-8C5F-8F48-8322-F52FF839482B}"/>
            </a:ext>
          </a:extLst>
        </xdr:cNvPr>
        <xdr:cNvSpPr/>
      </xdr:nvSpPr>
      <xdr:spPr>
        <a:xfrm>
          <a:off x="7416801" y="72224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222</xdr:row>
      <xdr:rowOff>39585</xdr:rowOff>
    </xdr:from>
    <xdr:to>
      <xdr:col>2</xdr:col>
      <xdr:colOff>7235427</xdr:colOff>
      <xdr:row>222</xdr:row>
      <xdr:rowOff>303868</xdr:rowOff>
    </xdr:to>
    <xdr:sp macro="[2]!HideFootnotes_Field" textlink="">
      <xdr:nvSpPr>
        <xdr:cNvPr id="67" name="Rectangle 66">
          <a:extLst>
            <a:ext uri="{FF2B5EF4-FFF2-40B4-BE49-F238E27FC236}">
              <a16:creationId xmlns:a16="http://schemas.microsoft.com/office/drawing/2014/main" id="{1C82F435-928B-D04A-A0CD-72B9749D0911}"/>
            </a:ext>
          </a:extLst>
        </xdr:cNvPr>
        <xdr:cNvSpPr/>
      </xdr:nvSpPr>
      <xdr:spPr>
        <a:xfrm>
          <a:off x="7416801" y="72859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224</xdr:row>
      <xdr:rowOff>19792</xdr:rowOff>
    </xdr:from>
    <xdr:to>
      <xdr:col>2</xdr:col>
      <xdr:colOff>7235427</xdr:colOff>
      <xdr:row>224</xdr:row>
      <xdr:rowOff>284075</xdr:rowOff>
    </xdr:to>
    <xdr:sp macro="[2]!HideFootnotes_Field" textlink="">
      <xdr:nvSpPr>
        <xdr:cNvPr id="68" name="Rectangle 67">
          <a:extLst>
            <a:ext uri="{FF2B5EF4-FFF2-40B4-BE49-F238E27FC236}">
              <a16:creationId xmlns:a16="http://schemas.microsoft.com/office/drawing/2014/main" id="{87AF4B06-4816-4141-BAE9-72C2075E93BD}"/>
            </a:ext>
          </a:extLst>
        </xdr:cNvPr>
        <xdr:cNvSpPr/>
      </xdr:nvSpPr>
      <xdr:spPr>
        <a:xfrm>
          <a:off x="7416801" y="73469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227</xdr:row>
      <xdr:rowOff>29688</xdr:rowOff>
    </xdr:from>
    <xdr:to>
      <xdr:col>2</xdr:col>
      <xdr:colOff>7235427</xdr:colOff>
      <xdr:row>227</xdr:row>
      <xdr:rowOff>293971</xdr:rowOff>
    </xdr:to>
    <xdr:sp macro="[2]!HideFootnotes_Field" textlink="">
      <xdr:nvSpPr>
        <xdr:cNvPr id="69" name="Rectangle 68">
          <a:extLst>
            <a:ext uri="{FF2B5EF4-FFF2-40B4-BE49-F238E27FC236}">
              <a16:creationId xmlns:a16="http://schemas.microsoft.com/office/drawing/2014/main" id="{57DB1936-83EA-4C43-95FB-A689BA1831C6}"/>
            </a:ext>
          </a:extLst>
        </xdr:cNvPr>
        <xdr:cNvSpPr/>
      </xdr:nvSpPr>
      <xdr:spPr>
        <a:xfrm>
          <a:off x="7416801" y="74129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229</xdr:row>
      <xdr:rowOff>24740</xdr:rowOff>
    </xdr:from>
    <xdr:to>
      <xdr:col>2</xdr:col>
      <xdr:colOff>7235427</xdr:colOff>
      <xdr:row>229</xdr:row>
      <xdr:rowOff>289023</xdr:rowOff>
    </xdr:to>
    <xdr:sp macro="[2]!HideFootnotes_Field" textlink="">
      <xdr:nvSpPr>
        <xdr:cNvPr id="70" name="Rectangle 69">
          <a:extLst>
            <a:ext uri="{FF2B5EF4-FFF2-40B4-BE49-F238E27FC236}">
              <a16:creationId xmlns:a16="http://schemas.microsoft.com/office/drawing/2014/main" id="{2116DF8E-D93C-564A-9A34-7ECFEFA3FA89}"/>
            </a:ext>
          </a:extLst>
        </xdr:cNvPr>
        <xdr:cNvSpPr/>
      </xdr:nvSpPr>
      <xdr:spPr>
        <a:xfrm>
          <a:off x="7416801" y="74904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231</xdr:row>
      <xdr:rowOff>24741</xdr:rowOff>
    </xdr:from>
    <xdr:to>
      <xdr:col>2</xdr:col>
      <xdr:colOff>7235427</xdr:colOff>
      <xdr:row>231</xdr:row>
      <xdr:rowOff>289024</xdr:rowOff>
    </xdr:to>
    <xdr:sp macro="[2]!HideFootnotes_Field" textlink="">
      <xdr:nvSpPr>
        <xdr:cNvPr id="71" name="Rectangle 70">
          <a:extLst>
            <a:ext uri="{FF2B5EF4-FFF2-40B4-BE49-F238E27FC236}">
              <a16:creationId xmlns:a16="http://schemas.microsoft.com/office/drawing/2014/main" id="{FC5AFF04-8245-4646-AEDA-7E34BE00818C}"/>
            </a:ext>
          </a:extLst>
        </xdr:cNvPr>
        <xdr:cNvSpPr/>
      </xdr:nvSpPr>
      <xdr:spPr>
        <a:xfrm>
          <a:off x="7416801" y="75755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233</xdr:row>
      <xdr:rowOff>29688</xdr:rowOff>
    </xdr:from>
    <xdr:to>
      <xdr:col>2</xdr:col>
      <xdr:colOff>7235427</xdr:colOff>
      <xdr:row>233</xdr:row>
      <xdr:rowOff>293971</xdr:rowOff>
    </xdr:to>
    <xdr:sp macro="[2]!HideFootnotes_Field" textlink="">
      <xdr:nvSpPr>
        <xdr:cNvPr id="72" name="Rectangle 71">
          <a:extLst>
            <a:ext uri="{FF2B5EF4-FFF2-40B4-BE49-F238E27FC236}">
              <a16:creationId xmlns:a16="http://schemas.microsoft.com/office/drawing/2014/main" id="{06BEBD68-AC49-1944-A379-FBF617664647}"/>
            </a:ext>
          </a:extLst>
        </xdr:cNvPr>
        <xdr:cNvSpPr/>
      </xdr:nvSpPr>
      <xdr:spPr>
        <a:xfrm>
          <a:off x="7416801" y="76111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235</xdr:row>
      <xdr:rowOff>19792</xdr:rowOff>
    </xdr:from>
    <xdr:to>
      <xdr:col>2</xdr:col>
      <xdr:colOff>7235427</xdr:colOff>
      <xdr:row>235</xdr:row>
      <xdr:rowOff>284075</xdr:rowOff>
    </xdr:to>
    <xdr:sp macro="[2]!HideFootnotes_Field" textlink="">
      <xdr:nvSpPr>
        <xdr:cNvPr id="73" name="Rectangle 72">
          <a:extLst>
            <a:ext uri="{FF2B5EF4-FFF2-40B4-BE49-F238E27FC236}">
              <a16:creationId xmlns:a16="http://schemas.microsoft.com/office/drawing/2014/main" id="{3EAB9655-FB63-334C-AF1E-1E354398F3F0}"/>
            </a:ext>
          </a:extLst>
        </xdr:cNvPr>
        <xdr:cNvSpPr/>
      </xdr:nvSpPr>
      <xdr:spPr>
        <a:xfrm>
          <a:off x="7416801" y="76936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238</xdr:row>
      <xdr:rowOff>19792</xdr:rowOff>
    </xdr:from>
    <xdr:to>
      <xdr:col>2</xdr:col>
      <xdr:colOff>7235427</xdr:colOff>
      <xdr:row>238</xdr:row>
      <xdr:rowOff>284075</xdr:rowOff>
    </xdr:to>
    <xdr:sp macro="[2]!HideFootnotes_Field" textlink="">
      <xdr:nvSpPr>
        <xdr:cNvPr id="74" name="Rectangle 73">
          <a:extLst>
            <a:ext uri="{FF2B5EF4-FFF2-40B4-BE49-F238E27FC236}">
              <a16:creationId xmlns:a16="http://schemas.microsoft.com/office/drawing/2014/main" id="{D19AEAEB-5C86-0645-BC32-E24D18A20AAF}"/>
            </a:ext>
          </a:extLst>
        </xdr:cNvPr>
        <xdr:cNvSpPr/>
      </xdr:nvSpPr>
      <xdr:spPr>
        <a:xfrm>
          <a:off x="7416801" y="77711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243</xdr:row>
      <xdr:rowOff>19792</xdr:rowOff>
    </xdr:from>
    <xdr:to>
      <xdr:col>2</xdr:col>
      <xdr:colOff>7235427</xdr:colOff>
      <xdr:row>243</xdr:row>
      <xdr:rowOff>284075</xdr:rowOff>
    </xdr:to>
    <xdr:sp macro="[2]!HideFootnotes_Field" textlink="">
      <xdr:nvSpPr>
        <xdr:cNvPr id="75" name="Rectangle 74">
          <a:extLst>
            <a:ext uri="{FF2B5EF4-FFF2-40B4-BE49-F238E27FC236}">
              <a16:creationId xmlns:a16="http://schemas.microsoft.com/office/drawing/2014/main" id="{A4AA3CC0-E554-8B46-ABC4-74B81163E65C}"/>
            </a:ext>
          </a:extLst>
        </xdr:cNvPr>
        <xdr:cNvSpPr/>
      </xdr:nvSpPr>
      <xdr:spPr>
        <a:xfrm>
          <a:off x="7416801" y="793496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246</xdr:row>
      <xdr:rowOff>29688</xdr:rowOff>
    </xdr:from>
    <xdr:to>
      <xdr:col>2</xdr:col>
      <xdr:colOff>7235427</xdr:colOff>
      <xdr:row>246</xdr:row>
      <xdr:rowOff>293971</xdr:rowOff>
    </xdr:to>
    <xdr:sp macro="[2]!HideFootnotes_Field" textlink="">
      <xdr:nvSpPr>
        <xdr:cNvPr id="76" name="Rectangle 75">
          <a:extLst>
            <a:ext uri="{FF2B5EF4-FFF2-40B4-BE49-F238E27FC236}">
              <a16:creationId xmlns:a16="http://schemas.microsoft.com/office/drawing/2014/main" id="{644CE18C-39CF-D441-93E1-7F9D7BD6557C}"/>
            </a:ext>
          </a:extLst>
        </xdr:cNvPr>
        <xdr:cNvSpPr/>
      </xdr:nvSpPr>
      <xdr:spPr>
        <a:xfrm>
          <a:off x="7416801" y="80098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249</xdr:row>
      <xdr:rowOff>29688</xdr:rowOff>
    </xdr:from>
    <xdr:to>
      <xdr:col>2</xdr:col>
      <xdr:colOff>7235427</xdr:colOff>
      <xdr:row>249</xdr:row>
      <xdr:rowOff>293971</xdr:rowOff>
    </xdr:to>
    <xdr:sp macro="[2]!HideFootnotes_Field" textlink="">
      <xdr:nvSpPr>
        <xdr:cNvPr id="77" name="Rectangle 76">
          <a:extLst>
            <a:ext uri="{FF2B5EF4-FFF2-40B4-BE49-F238E27FC236}">
              <a16:creationId xmlns:a16="http://schemas.microsoft.com/office/drawing/2014/main" id="{F3305D02-5285-4847-A10B-48BDC1539326}"/>
            </a:ext>
          </a:extLst>
        </xdr:cNvPr>
        <xdr:cNvSpPr/>
      </xdr:nvSpPr>
      <xdr:spPr>
        <a:xfrm>
          <a:off x="7416801" y="80708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252</xdr:row>
      <xdr:rowOff>24740</xdr:rowOff>
    </xdr:from>
    <xdr:to>
      <xdr:col>2</xdr:col>
      <xdr:colOff>7235427</xdr:colOff>
      <xdr:row>252</xdr:row>
      <xdr:rowOff>289023</xdr:rowOff>
    </xdr:to>
    <xdr:sp macro="[2]!HideFootnotes_Field" textlink="">
      <xdr:nvSpPr>
        <xdr:cNvPr id="78" name="Rectangle 77">
          <a:extLst>
            <a:ext uri="{FF2B5EF4-FFF2-40B4-BE49-F238E27FC236}">
              <a16:creationId xmlns:a16="http://schemas.microsoft.com/office/drawing/2014/main" id="{B5E6409F-B5B0-4142-A07D-F4B37BF65D87}"/>
            </a:ext>
          </a:extLst>
        </xdr:cNvPr>
        <xdr:cNvSpPr/>
      </xdr:nvSpPr>
      <xdr:spPr>
        <a:xfrm>
          <a:off x="7416801" y="81711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254</xdr:row>
      <xdr:rowOff>29688</xdr:rowOff>
    </xdr:from>
    <xdr:to>
      <xdr:col>2</xdr:col>
      <xdr:colOff>7235427</xdr:colOff>
      <xdr:row>254</xdr:row>
      <xdr:rowOff>293971</xdr:rowOff>
    </xdr:to>
    <xdr:sp macro="[2]!HideFootnotes_Field" textlink="">
      <xdr:nvSpPr>
        <xdr:cNvPr id="79" name="Rectangle 78">
          <a:extLst>
            <a:ext uri="{FF2B5EF4-FFF2-40B4-BE49-F238E27FC236}">
              <a16:creationId xmlns:a16="http://schemas.microsoft.com/office/drawing/2014/main" id="{8FE553FC-24C9-2F4D-ABBA-2A78728BCAB6}"/>
            </a:ext>
          </a:extLst>
        </xdr:cNvPr>
        <xdr:cNvSpPr/>
      </xdr:nvSpPr>
      <xdr:spPr>
        <a:xfrm>
          <a:off x="7416801" y="82410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258</xdr:row>
      <xdr:rowOff>19792</xdr:rowOff>
    </xdr:from>
    <xdr:to>
      <xdr:col>2</xdr:col>
      <xdr:colOff>7235427</xdr:colOff>
      <xdr:row>258</xdr:row>
      <xdr:rowOff>284075</xdr:rowOff>
    </xdr:to>
    <xdr:sp macro="[2]!HideFootnotes_Field" textlink="">
      <xdr:nvSpPr>
        <xdr:cNvPr id="80" name="Rectangle 79">
          <a:extLst>
            <a:ext uri="{FF2B5EF4-FFF2-40B4-BE49-F238E27FC236}">
              <a16:creationId xmlns:a16="http://schemas.microsoft.com/office/drawing/2014/main" id="{442EFE2F-1A3B-E14E-AC09-5B77782D01E2}"/>
            </a:ext>
          </a:extLst>
        </xdr:cNvPr>
        <xdr:cNvSpPr/>
      </xdr:nvSpPr>
      <xdr:spPr>
        <a:xfrm>
          <a:off x="7416801" y="83896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19</xdr:row>
      <xdr:rowOff>258536</xdr:rowOff>
    </xdr:from>
    <xdr:to>
      <xdr:col>2</xdr:col>
      <xdr:colOff>7235427</xdr:colOff>
      <xdr:row>19</xdr:row>
      <xdr:rowOff>522819</xdr:rowOff>
    </xdr:to>
    <xdr:sp macro="[2]!Field_DisplayFootnotes_13" textlink="">
      <xdr:nvSpPr>
        <xdr:cNvPr id="81" name="Rectangle 80">
          <a:extLst>
            <a:ext uri="{FF2B5EF4-FFF2-40B4-BE49-F238E27FC236}">
              <a16:creationId xmlns:a16="http://schemas.microsoft.com/office/drawing/2014/main" id="{E42BDBFA-ACBA-544F-B9FF-8BC0AFC3736C}"/>
            </a:ext>
          </a:extLst>
        </xdr:cNvPr>
        <xdr:cNvSpPr/>
      </xdr:nvSpPr>
      <xdr:spPr>
        <a:xfrm>
          <a:off x="7416801" y="493213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22</xdr:row>
      <xdr:rowOff>27215</xdr:rowOff>
    </xdr:from>
    <xdr:to>
      <xdr:col>2</xdr:col>
      <xdr:colOff>7235427</xdr:colOff>
      <xdr:row>22</xdr:row>
      <xdr:rowOff>291498</xdr:rowOff>
    </xdr:to>
    <xdr:sp macro="[2]!Field_DisplayFootnotes_14" textlink="">
      <xdr:nvSpPr>
        <xdr:cNvPr id="82" name="Rectangle 81">
          <a:extLst>
            <a:ext uri="{FF2B5EF4-FFF2-40B4-BE49-F238E27FC236}">
              <a16:creationId xmlns:a16="http://schemas.microsoft.com/office/drawing/2014/main" id="{16448EFE-A460-A546-B112-A17436A3FB6C}"/>
            </a:ext>
          </a:extLst>
        </xdr:cNvPr>
        <xdr:cNvSpPr/>
      </xdr:nvSpPr>
      <xdr:spPr>
        <a:xfrm>
          <a:off x="7416801" y="525961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24</xdr:row>
      <xdr:rowOff>240394</xdr:rowOff>
    </xdr:from>
    <xdr:to>
      <xdr:col>2</xdr:col>
      <xdr:colOff>7235427</xdr:colOff>
      <xdr:row>24</xdr:row>
      <xdr:rowOff>504677</xdr:rowOff>
    </xdr:to>
    <xdr:sp macro="[2]!Field_DisplayFootnotes_15" textlink="">
      <xdr:nvSpPr>
        <xdr:cNvPr id="83" name="Rectangle 82">
          <a:extLst>
            <a:ext uri="{FF2B5EF4-FFF2-40B4-BE49-F238E27FC236}">
              <a16:creationId xmlns:a16="http://schemas.microsoft.com/office/drawing/2014/main" id="{B8AA5706-CD24-9443-AA12-7298334B63A4}"/>
            </a:ext>
          </a:extLst>
        </xdr:cNvPr>
        <xdr:cNvSpPr/>
      </xdr:nvSpPr>
      <xdr:spPr>
        <a:xfrm>
          <a:off x="7416801" y="581569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28</xdr:row>
      <xdr:rowOff>27214</xdr:rowOff>
    </xdr:from>
    <xdr:to>
      <xdr:col>2</xdr:col>
      <xdr:colOff>7235427</xdr:colOff>
      <xdr:row>28</xdr:row>
      <xdr:rowOff>291497</xdr:rowOff>
    </xdr:to>
    <xdr:sp macro="[2]!Field_DisplayFootnotes_153" textlink="">
      <xdr:nvSpPr>
        <xdr:cNvPr id="84" name="Rectangle 83">
          <a:extLst>
            <a:ext uri="{FF2B5EF4-FFF2-40B4-BE49-F238E27FC236}">
              <a16:creationId xmlns:a16="http://schemas.microsoft.com/office/drawing/2014/main" id="{AD0B5077-F743-4843-AEBF-85F21A19B3D9}"/>
            </a:ext>
          </a:extLst>
        </xdr:cNvPr>
        <xdr:cNvSpPr/>
      </xdr:nvSpPr>
      <xdr:spPr>
        <a:xfrm>
          <a:off x="7416801" y="699951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30</xdr:row>
      <xdr:rowOff>36286</xdr:rowOff>
    </xdr:from>
    <xdr:to>
      <xdr:col>2</xdr:col>
      <xdr:colOff>7235427</xdr:colOff>
      <xdr:row>30</xdr:row>
      <xdr:rowOff>300569</xdr:rowOff>
    </xdr:to>
    <xdr:sp macro="[2]!Field_DisplayFootnotes_16" textlink="">
      <xdr:nvSpPr>
        <xdr:cNvPr id="85" name="Rectangle 84">
          <a:extLst>
            <a:ext uri="{FF2B5EF4-FFF2-40B4-BE49-F238E27FC236}">
              <a16:creationId xmlns:a16="http://schemas.microsoft.com/office/drawing/2014/main" id="{2C1C112B-4EE0-5F42-B04A-53AE85523998}"/>
            </a:ext>
          </a:extLst>
        </xdr:cNvPr>
        <xdr:cNvSpPr/>
      </xdr:nvSpPr>
      <xdr:spPr>
        <a:xfrm>
          <a:off x="7416801" y="737688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34</xdr:row>
      <xdr:rowOff>240393</xdr:rowOff>
    </xdr:from>
    <xdr:to>
      <xdr:col>2</xdr:col>
      <xdr:colOff>7235427</xdr:colOff>
      <xdr:row>34</xdr:row>
      <xdr:rowOff>504676</xdr:rowOff>
    </xdr:to>
    <xdr:sp macro="[2]!Field_DisplayFootnotes_2" textlink="">
      <xdr:nvSpPr>
        <xdr:cNvPr id="86" name="Rectangle 85">
          <a:extLst>
            <a:ext uri="{FF2B5EF4-FFF2-40B4-BE49-F238E27FC236}">
              <a16:creationId xmlns:a16="http://schemas.microsoft.com/office/drawing/2014/main" id="{74DE7D24-B989-E743-A163-BB4538A068D5}"/>
            </a:ext>
          </a:extLst>
        </xdr:cNvPr>
        <xdr:cNvSpPr/>
      </xdr:nvSpPr>
      <xdr:spPr>
        <a:xfrm>
          <a:off x="7416801" y="883829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36</xdr:row>
      <xdr:rowOff>820964</xdr:rowOff>
    </xdr:from>
    <xdr:to>
      <xdr:col>2</xdr:col>
      <xdr:colOff>7235427</xdr:colOff>
      <xdr:row>36</xdr:row>
      <xdr:rowOff>1085247</xdr:rowOff>
    </xdr:to>
    <xdr:sp macro="[2]!Field_DisplayFootnotes_2_Ceilings" textlink="">
      <xdr:nvSpPr>
        <xdr:cNvPr id="87" name="Rectangle 86">
          <a:extLst>
            <a:ext uri="{FF2B5EF4-FFF2-40B4-BE49-F238E27FC236}">
              <a16:creationId xmlns:a16="http://schemas.microsoft.com/office/drawing/2014/main" id="{608C2D25-7E21-5D43-82E1-5D59F0836725}"/>
            </a:ext>
          </a:extLst>
        </xdr:cNvPr>
        <xdr:cNvSpPr/>
      </xdr:nvSpPr>
      <xdr:spPr>
        <a:xfrm>
          <a:off x="7416801" y="999036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39</xdr:row>
      <xdr:rowOff>204107</xdr:rowOff>
    </xdr:from>
    <xdr:to>
      <xdr:col>2</xdr:col>
      <xdr:colOff>7235427</xdr:colOff>
      <xdr:row>39</xdr:row>
      <xdr:rowOff>468390</xdr:rowOff>
    </xdr:to>
    <xdr:sp macro="[2]!Field_DisplayFootnotes_2_Walls" textlink="">
      <xdr:nvSpPr>
        <xdr:cNvPr id="88" name="Rectangle 87">
          <a:extLst>
            <a:ext uri="{FF2B5EF4-FFF2-40B4-BE49-F238E27FC236}">
              <a16:creationId xmlns:a16="http://schemas.microsoft.com/office/drawing/2014/main" id="{D0A458E8-84E3-724F-B59D-AA830B768EF4}"/>
            </a:ext>
          </a:extLst>
        </xdr:cNvPr>
        <xdr:cNvSpPr/>
      </xdr:nvSpPr>
      <xdr:spPr>
        <a:xfrm>
          <a:off x="7416801" y="1075780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43</xdr:row>
      <xdr:rowOff>394607</xdr:rowOff>
    </xdr:from>
    <xdr:to>
      <xdr:col>2</xdr:col>
      <xdr:colOff>7235427</xdr:colOff>
      <xdr:row>43</xdr:row>
      <xdr:rowOff>658890</xdr:rowOff>
    </xdr:to>
    <xdr:sp macro="[2]!Field_DisplayFootnotes_2_Floors" textlink="">
      <xdr:nvSpPr>
        <xdr:cNvPr id="89" name="Rectangle 88">
          <a:extLst>
            <a:ext uri="{FF2B5EF4-FFF2-40B4-BE49-F238E27FC236}">
              <a16:creationId xmlns:a16="http://schemas.microsoft.com/office/drawing/2014/main" id="{910B9267-84FF-E64D-9AE0-483F407A73B1}"/>
            </a:ext>
          </a:extLst>
        </xdr:cNvPr>
        <xdr:cNvSpPr/>
      </xdr:nvSpPr>
      <xdr:spPr>
        <a:xfrm>
          <a:off x="7416801" y="1197700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50</xdr:row>
      <xdr:rowOff>240392</xdr:rowOff>
    </xdr:from>
    <xdr:to>
      <xdr:col>2</xdr:col>
      <xdr:colOff>7235427</xdr:colOff>
      <xdr:row>50</xdr:row>
      <xdr:rowOff>504675</xdr:rowOff>
    </xdr:to>
    <xdr:sp macro="[2]!Field_DisplayFootnotes_31" textlink="">
      <xdr:nvSpPr>
        <xdr:cNvPr id="90" name="Rectangle 89">
          <a:extLst>
            <a:ext uri="{FF2B5EF4-FFF2-40B4-BE49-F238E27FC236}">
              <a16:creationId xmlns:a16="http://schemas.microsoft.com/office/drawing/2014/main" id="{4E17E3AF-61A1-C44A-AD0B-70D795ED23A6}"/>
            </a:ext>
          </a:extLst>
        </xdr:cNvPr>
        <xdr:cNvSpPr/>
      </xdr:nvSpPr>
      <xdr:spPr>
        <a:xfrm>
          <a:off x="7416801" y="1351189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52</xdr:row>
      <xdr:rowOff>231322</xdr:rowOff>
    </xdr:from>
    <xdr:to>
      <xdr:col>2</xdr:col>
      <xdr:colOff>7235427</xdr:colOff>
      <xdr:row>52</xdr:row>
      <xdr:rowOff>495605</xdr:rowOff>
    </xdr:to>
    <xdr:sp macro="[2]!Field_DisplayFootnotes_32" textlink="">
      <xdr:nvSpPr>
        <xdr:cNvPr id="91" name="Rectangle 90">
          <a:extLst>
            <a:ext uri="{FF2B5EF4-FFF2-40B4-BE49-F238E27FC236}">
              <a16:creationId xmlns:a16="http://schemas.microsoft.com/office/drawing/2014/main" id="{EAF3EDF2-0772-A344-8120-13D064076712}"/>
            </a:ext>
          </a:extLst>
        </xdr:cNvPr>
        <xdr:cNvSpPr/>
      </xdr:nvSpPr>
      <xdr:spPr>
        <a:xfrm>
          <a:off x="7416801" y="1404892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55</xdr:row>
      <xdr:rowOff>312964</xdr:rowOff>
    </xdr:from>
    <xdr:to>
      <xdr:col>2</xdr:col>
      <xdr:colOff>7235427</xdr:colOff>
      <xdr:row>55</xdr:row>
      <xdr:rowOff>577247</xdr:rowOff>
    </xdr:to>
    <xdr:sp macro="[2]!Field_DisplayFootnotes_34" textlink="">
      <xdr:nvSpPr>
        <xdr:cNvPr id="92" name="Rectangle 91">
          <a:extLst>
            <a:ext uri="{FF2B5EF4-FFF2-40B4-BE49-F238E27FC236}">
              <a16:creationId xmlns:a16="http://schemas.microsoft.com/office/drawing/2014/main" id="{C84D93F3-0B01-7E41-AF32-D753EEC28F4F}"/>
            </a:ext>
          </a:extLst>
        </xdr:cNvPr>
        <xdr:cNvSpPr/>
      </xdr:nvSpPr>
      <xdr:spPr>
        <a:xfrm>
          <a:off x="7416801" y="1507036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58</xdr:row>
      <xdr:rowOff>421821</xdr:rowOff>
    </xdr:from>
    <xdr:to>
      <xdr:col>2</xdr:col>
      <xdr:colOff>7235427</xdr:colOff>
      <xdr:row>58</xdr:row>
      <xdr:rowOff>686104</xdr:rowOff>
    </xdr:to>
    <xdr:sp macro="[2]!Field_DisplayFootnotes_35" textlink="">
      <xdr:nvSpPr>
        <xdr:cNvPr id="93" name="Rectangle 92">
          <a:extLst>
            <a:ext uri="{FF2B5EF4-FFF2-40B4-BE49-F238E27FC236}">
              <a16:creationId xmlns:a16="http://schemas.microsoft.com/office/drawing/2014/main" id="{9F311D1C-A4A8-AF4E-B192-8646A509C70B}"/>
            </a:ext>
          </a:extLst>
        </xdr:cNvPr>
        <xdr:cNvSpPr/>
      </xdr:nvSpPr>
      <xdr:spPr>
        <a:xfrm>
          <a:off x="7416801" y="1577612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60</xdr:row>
      <xdr:rowOff>449037</xdr:rowOff>
    </xdr:from>
    <xdr:to>
      <xdr:col>2</xdr:col>
      <xdr:colOff>7235427</xdr:colOff>
      <xdr:row>60</xdr:row>
      <xdr:rowOff>713320</xdr:rowOff>
    </xdr:to>
    <xdr:sp macro="[2]!Field_DisplayFootnotes_36" textlink="">
      <xdr:nvSpPr>
        <xdr:cNvPr id="94" name="Rectangle 93">
          <a:extLst>
            <a:ext uri="{FF2B5EF4-FFF2-40B4-BE49-F238E27FC236}">
              <a16:creationId xmlns:a16="http://schemas.microsoft.com/office/drawing/2014/main" id="{C40ED136-F411-0744-97AC-87B8745F6E99}"/>
            </a:ext>
          </a:extLst>
        </xdr:cNvPr>
        <xdr:cNvSpPr/>
      </xdr:nvSpPr>
      <xdr:spPr>
        <a:xfrm>
          <a:off x="7416801" y="1653993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62</xdr:row>
      <xdr:rowOff>235858</xdr:rowOff>
    </xdr:from>
    <xdr:to>
      <xdr:col>2</xdr:col>
      <xdr:colOff>7235427</xdr:colOff>
      <xdr:row>62</xdr:row>
      <xdr:rowOff>500141</xdr:rowOff>
    </xdr:to>
    <xdr:sp macro="[2]!Field_DisplayFootnotes_37" textlink="">
      <xdr:nvSpPr>
        <xdr:cNvPr id="95" name="Rectangle 94">
          <a:extLst>
            <a:ext uri="{FF2B5EF4-FFF2-40B4-BE49-F238E27FC236}">
              <a16:creationId xmlns:a16="http://schemas.microsoft.com/office/drawing/2014/main" id="{E7C24F99-E69C-5D4C-9B37-6E1B88EC1C01}"/>
            </a:ext>
          </a:extLst>
        </xdr:cNvPr>
        <xdr:cNvSpPr/>
      </xdr:nvSpPr>
      <xdr:spPr>
        <a:xfrm>
          <a:off x="7416801" y="1706335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65</xdr:row>
      <xdr:rowOff>253999</xdr:rowOff>
    </xdr:from>
    <xdr:to>
      <xdr:col>2</xdr:col>
      <xdr:colOff>7235427</xdr:colOff>
      <xdr:row>65</xdr:row>
      <xdr:rowOff>517071</xdr:rowOff>
    </xdr:to>
    <xdr:sp macro="[2]!Field_DisplayFootnotes_371" textlink="">
      <xdr:nvSpPr>
        <xdr:cNvPr id="96" name="Rectangle 95">
          <a:extLst>
            <a:ext uri="{FF2B5EF4-FFF2-40B4-BE49-F238E27FC236}">
              <a16:creationId xmlns:a16="http://schemas.microsoft.com/office/drawing/2014/main" id="{7BC20447-C193-6F48-88ED-96CC92B65D95}"/>
            </a:ext>
          </a:extLst>
        </xdr:cNvPr>
        <xdr:cNvSpPr/>
      </xdr:nvSpPr>
      <xdr:spPr>
        <a:xfrm>
          <a:off x="7416801" y="17602199"/>
          <a:ext cx="1329926" cy="263072"/>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70</xdr:row>
      <xdr:rowOff>267608</xdr:rowOff>
    </xdr:from>
    <xdr:to>
      <xdr:col>2</xdr:col>
      <xdr:colOff>7235427</xdr:colOff>
      <xdr:row>70</xdr:row>
      <xdr:rowOff>531891</xdr:rowOff>
    </xdr:to>
    <xdr:sp macro="[2]!Field_DisplayFootnotes_372" textlink="">
      <xdr:nvSpPr>
        <xdr:cNvPr id="97" name="Rectangle 96">
          <a:extLst>
            <a:ext uri="{FF2B5EF4-FFF2-40B4-BE49-F238E27FC236}">
              <a16:creationId xmlns:a16="http://schemas.microsoft.com/office/drawing/2014/main" id="{8237DEDD-1E52-CB46-96AC-AF1AD97DC0DA}"/>
            </a:ext>
          </a:extLst>
        </xdr:cNvPr>
        <xdr:cNvSpPr/>
      </xdr:nvSpPr>
      <xdr:spPr>
        <a:xfrm>
          <a:off x="7416801" y="1816190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74</xdr:row>
      <xdr:rowOff>290286</xdr:rowOff>
    </xdr:from>
    <xdr:to>
      <xdr:col>2</xdr:col>
      <xdr:colOff>7235427</xdr:colOff>
      <xdr:row>74</xdr:row>
      <xdr:rowOff>553358</xdr:rowOff>
    </xdr:to>
    <xdr:sp macro="[2]!Field_DisplayFootnotes_373" textlink="">
      <xdr:nvSpPr>
        <xdr:cNvPr id="98" name="Rectangle 97">
          <a:extLst>
            <a:ext uri="{FF2B5EF4-FFF2-40B4-BE49-F238E27FC236}">
              <a16:creationId xmlns:a16="http://schemas.microsoft.com/office/drawing/2014/main" id="{DAE129E5-5795-364C-A39B-91A9EA2598E6}"/>
            </a:ext>
          </a:extLst>
        </xdr:cNvPr>
        <xdr:cNvSpPr/>
      </xdr:nvSpPr>
      <xdr:spPr>
        <a:xfrm>
          <a:off x="7416801" y="18730686"/>
          <a:ext cx="1329926" cy="263072"/>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77</xdr:row>
      <xdr:rowOff>49892</xdr:rowOff>
    </xdr:from>
    <xdr:to>
      <xdr:col>2</xdr:col>
      <xdr:colOff>7235427</xdr:colOff>
      <xdr:row>77</xdr:row>
      <xdr:rowOff>314175</xdr:rowOff>
    </xdr:to>
    <xdr:sp macro="[2]!Field_DisplayFootnotes_373a" textlink="">
      <xdr:nvSpPr>
        <xdr:cNvPr id="99" name="Rectangle 98">
          <a:extLst>
            <a:ext uri="{FF2B5EF4-FFF2-40B4-BE49-F238E27FC236}">
              <a16:creationId xmlns:a16="http://schemas.microsoft.com/office/drawing/2014/main" id="{CF4F9ACA-35C5-7149-A8C9-0B5C9E984467}"/>
            </a:ext>
          </a:extLst>
        </xdr:cNvPr>
        <xdr:cNvSpPr/>
      </xdr:nvSpPr>
      <xdr:spPr>
        <a:xfrm>
          <a:off x="7416801" y="1906179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79</xdr:row>
      <xdr:rowOff>258536</xdr:rowOff>
    </xdr:from>
    <xdr:to>
      <xdr:col>2</xdr:col>
      <xdr:colOff>7235427</xdr:colOff>
      <xdr:row>79</xdr:row>
      <xdr:rowOff>522819</xdr:rowOff>
    </xdr:to>
    <xdr:sp macro="[2]!Field_DisplayFootnotes_373b" textlink="">
      <xdr:nvSpPr>
        <xdr:cNvPr id="100" name="Rectangle 99">
          <a:extLst>
            <a:ext uri="{FF2B5EF4-FFF2-40B4-BE49-F238E27FC236}">
              <a16:creationId xmlns:a16="http://schemas.microsoft.com/office/drawing/2014/main" id="{32FA4E41-F0EB-B44B-AFB0-A32A663F3123}"/>
            </a:ext>
          </a:extLst>
        </xdr:cNvPr>
        <xdr:cNvSpPr/>
      </xdr:nvSpPr>
      <xdr:spPr>
        <a:xfrm>
          <a:off x="7416801" y="1962603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81</xdr:row>
      <xdr:rowOff>240393</xdr:rowOff>
    </xdr:from>
    <xdr:to>
      <xdr:col>2</xdr:col>
      <xdr:colOff>7235427</xdr:colOff>
      <xdr:row>81</xdr:row>
      <xdr:rowOff>504676</xdr:rowOff>
    </xdr:to>
    <xdr:sp macro="[2]!Field_DisplayFootnotes_373c" textlink="">
      <xdr:nvSpPr>
        <xdr:cNvPr id="101" name="Rectangle 100">
          <a:extLst>
            <a:ext uri="{FF2B5EF4-FFF2-40B4-BE49-F238E27FC236}">
              <a16:creationId xmlns:a16="http://schemas.microsoft.com/office/drawing/2014/main" id="{705CDA1C-E258-BC4C-A102-BF8EDB0847BE}"/>
            </a:ext>
          </a:extLst>
        </xdr:cNvPr>
        <xdr:cNvSpPr/>
      </xdr:nvSpPr>
      <xdr:spPr>
        <a:xfrm>
          <a:off x="7416801" y="2015399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88</xdr:row>
      <xdr:rowOff>31750</xdr:rowOff>
    </xdr:from>
    <xdr:to>
      <xdr:col>2</xdr:col>
      <xdr:colOff>7235427</xdr:colOff>
      <xdr:row>88</xdr:row>
      <xdr:rowOff>296033</xdr:rowOff>
    </xdr:to>
    <xdr:sp macro="[2]!Field_DisplayFootnotes_45" textlink="">
      <xdr:nvSpPr>
        <xdr:cNvPr id="102" name="Rectangle 101">
          <a:extLst>
            <a:ext uri="{FF2B5EF4-FFF2-40B4-BE49-F238E27FC236}">
              <a16:creationId xmlns:a16="http://schemas.microsoft.com/office/drawing/2014/main" id="{F97E7DB3-45DD-384B-B7BF-FCD81A8CD150}"/>
            </a:ext>
          </a:extLst>
        </xdr:cNvPr>
        <xdr:cNvSpPr/>
      </xdr:nvSpPr>
      <xdr:spPr>
        <a:xfrm>
          <a:off x="7416801" y="2284095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93</xdr:row>
      <xdr:rowOff>231322</xdr:rowOff>
    </xdr:from>
    <xdr:to>
      <xdr:col>2</xdr:col>
      <xdr:colOff>7235427</xdr:colOff>
      <xdr:row>93</xdr:row>
      <xdr:rowOff>495605</xdr:rowOff>
    </xdr:to>
    <xdr:sp macro="[2]!Field_DisplayFootnotes_48" textlink="">
      <xdr:nvSpPr>
        <xdr:cNvPr id="103" name="Rectangle 102">
          <a:extLst>
            <a:ext uri="{FF2B5EF4-FFF2-40B4-BE49-F238E27FC236}">
              <a16:creationId xmlns:a16="http://schemas.microsoft.com/office/drawing/2014/main" id="{214278CC-097F-1B44-9E7F-A79CA2E43CCC}"/>
            </a:ext>
          </a:extLst>
        </xdr:cNvPr>
        <xdr:cNvSpPr/>
      </xdr:nvSpPr>
      <xdr:spPr>
        <a:xfrm>
          <a:off x="7416801" y="2437402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99</xdr:row>
      <xdr:rowOff>625929</xdr:rowOff>
    </xdr:from>
    <xdr:to>
      <xdr:col>2</xdr:col>
      <xdr:colOff>7235427</xdr:colOff>
      <xdr:row>99</xdr:row>
      <xdr:rowOff>890212</xdr:rowOff>
    </xdr:to>
    <xdr:sp macro="[2]!Field_DisplayFootnotes_4101" textlink="">
      <xdr:nvSpPr>
        <xdr:cNvPr id="104" name="Rectangle 103">
          <a:extLst>
            <a:ext uri="{FF2B5EF4-FFF2-40B4-BE49-F238E27FC236}">
              <a16:creationId xmlns:a16="http://schemas.microsoft.com/office/drawing/2014/main" id="{AF421046-55B1-B64D-BF88-1C0B82C07329}"/>
            </a:ext>
          </a:extLst>
        </xdr:cNvPr>
        <xdr:cNvSpPr/>
      </xdr:nvSpPr>
      <xdr:spPr>
        <a:xfrm>
          <a:off x="7416801" y="2669902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101</xdr:row>
      <xdr:rowOff>22679</xdr:rowOff>
    </xdr:from>
    <xdr:to>
      <xdr:col>2</xdr:col>
      <xdr:colOff>7235427</xdr:colOff>
      <xdr:row>101</xdr:row>
      <xdr:rowOff>286962</xdr:rowOff>
    </xdr:to>
    <xdr:sp macro="[2]!Field_DisplayFootnotes_HVACSystem" textlink="">
      <xdr:nvSpPr>
        <xdr:cNvPr id="105" name="Rectangle 104">
          <a:extLst>
            <a:ext uri="{FF2B5EF4-FFF2-40B4-BE49-F238E27FC236}">
              <a16:creationId xmlns:a16="http://schemas.microsoft.com/office/drawing/2014/main" id="{39F4AC50-CED9-2240-839C-518C9A6F1221}"/>
            </a:ext>
          </a:extLst>
        </xdr:cNvPr>
        <xdr:cNvSpPr/>
      </xdr:nvSpPr>
      <xdr:spPr>
        <a:xfrm>
          <a:off x="7416801" y="2701017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5898698</xdr:colOff>
      <xdr:row>112</xdr:row>
      <xdr:rowOff>839107</xdr:rowOff>
    </xdr:from>
    <xdr:to>
      <xdr:col>2</xdr:col>
      <xdr:colOff>7228624</xdr:colOff>
      <xdr:row>112</xdr:row>
      <xdr:rowOff>1103390</xdr:rowOff>
    </xdr:to>
    <xdr:sp macro="[2]!Field_DisplayFootnotes_5b1" textlink="">
      <xdr:nvSpPr>
        <xdr:cNvPr id="106" name="Rectangle 105">
          <a:extLst>
            <a:ext uri="{FF2B5EF4-FFF2-40B4-BE49-F238E27FC236}">
              <a16:creationId xmlns:a16="http://schemas.microsoft.com/office/drawing/2014/main" id="{D0F4B169-3A57-CF4F-813A-5ADE337583AF}"/>
            </a:ext>
          </a:extLst>
        </xdr:cNvPr>
        <xdr:cNvSpPr/>
      </xdr:nvSpPr>
      <xdr:spPr>
        <a:xfrm>
          <a:off x="7409998" y="3063330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118</xdr:row>
      <xdr:rowOff>598716</xdr:rowOff>
    </xdr:from>
    <xdr:to>
      <xdr:col>2</xdr:col>
      <xdr:colOff>7235427</xdr:colOff>
      <xdr:row>118</xdr:row>
      <xdr:rowOff>862999</xdr:rowOff>
    </xdr:to>
    <xdr:sp macro="[2]!Field_DisplayFootnotes_56" textlink="">
      <xdr:nvSpPr>
        <xdr:cNvPr id="107" name="Rectangle 106">
          <a:extLst>
            <a:ext uri="{FF2B5EF4-FFF2-40B4-BE49-F238E27FC236}">
              <a16:creationId xmlns:a16="http://schemas.microsoft.com/office/drawing/2014/main" id="{2984DFB5-3B49-864D-9447-21EFE9AEBB47}"/>
            </a:ext>
          </a:extLst>
        </xdr:cNvPr>
        <xdr:cNvSpPr/>
      </xdr:nvSpPr>
      <xdr:spPr>
        <a:xfrm>
          <a:off x="7416801" y="3386001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120</xdr:row>
      <xdr:rowOff>920750</xdr:rowOff>
    </xdr:from>
    <xdr:to>
      <xdr:col>2</xdr:col>
      <xdr:colOff>7235427</xdr:colOff>
      <xdr:row>120</xdr:row>
      <xdr:rowOff>1185033</xdr:rowOff>
    </xdr:to>
    <xdr:sp macro="[2]!Field_DisplayFootnotes_57" textlink="">
      <xdr:nvSpPr>
        <xdr:cNvPr id="108" name="Rectangle 107">
          <a:extLst>
            <a:ext uri="{FF2B5EF4-FFF2-40B4-BE49-F238E27FC236}">
              <a16:creationId xmlns:a16="http://schemas.microsoft.com/office/drawing/2014/main" id="{160E6917-44F2-114A-A03E-035862063C0C}"/>
            </a:ext>
          </a:extLst>
        </xdr:cNvPr>
        <xdr:cNvSpPr/>
      </xdr:nvSpPr>
      <xdr:spPr>
        <a:xfrm>
          <a:off x="7416801" y="3505835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135</xdr:row>
      <xdr:rowOff>272144</xdr:rowOff>
    </xdr:from>
    <xdr:to>
      <xdr:col>2</xdr:col>
      <xdr:colOff>7235427</xdr:colOff>
      <xdr:row>135</xdr:row>
      <xdr:rowOff>536427</xdr:rowOff>
    </xdr:to>
    <xdr:sp macro="[2]!Field_DisplayFootnotes_61" textlink="">
      <xdr:nvSpPr>
        <xdr:cNvPr id="109" name="Rectangle 108">
          <a:extLst>
            <a:ext uri="{FF2B5EF4-FFF2-40B4-BE49-F238E27FC236}">
              <a16:creationId xmlns:a16="http://schemas.microsoft.com/office/drawing/2014/main" id="{1198012F-7096-224A-AF6A-7EAACB99E98E}"/>
            </a:ext>
          </a:extLst>
        </xdr:cNvPr>
        <xdr:cNvSpPr/>
      </xdr:nvSpPr>
      <xdr:spPr>
        <a:xfrm>
          <a:off x="7416801" y="4215674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137</xdr:row>
      <xdr:rowOff>752928</xdr:rowOff>
    </xdr:from>
    <xdr:to>
      <xdr:col>2</xdr:col>
      <xdr:colOff>7235427</xdr:colOff>
      <xdr:row>137</xdr:row>
      <xdr:rowOff>1017211</xdr:rowOff>
    </xdr:to>
    <xdr:sp macro="[2]!Field_DisplayFootnotes_62" textlink="">
      <xdr:nvSpPr>
        <xdr:cNvPr id="110" name="Rectangle 109">
          <a:extLst>
            <a:ext uri="{FF2B5EF4-FFF2-40B4-BE49-F238E27FC236}">
              <a16:creationId xmlns:a16="http://schemas.microsoft.com/office/drawing/2014/main" id="{11F06181-2779-E74F-B95D-60D9314E0B3E}"/>
            </a:ext>
          </a:extLst>
        </xdr:cNvPr>
        <xdr:cNvSpPr/>
      </xdr:nvSpPr>
      <xdr:spPr>
        <a:xfrm>
          <a:off x="7416801" y="4319632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139</xdr:row>
      <xdr:rowOff>267606</xdr:rowOff>
    </xdr:from>
    <xdr:to>
      <xdr:col>2</xdr:col>
      <xdr:colOff>7235427</xdr:colOff>
      <xdr:row>139</xdr:row>
      <xdr:rowOff>531889</xdr:rowOff>
    </xdr:to>
    <xdr:sp macro="[2]!Field_DisplayFootnotes_63" textlink="">
      <xdr:nvSpPr>
        <xdr:cNvPr id="111" name="Rectangle 110">
          <a:extLst>
            <a:ext uri="{FF2B5EF4-FFF2-40B4-BE49-F238E27FC236}">
              <a16:creationId xmlns:a16="http://schemas.microsoft.com/office/drawing/2014/main" id="{CA2AA185-76BF-8D4F-8F68-D87AA52E1386}"/>
            </a:ext>
          </a:extLst>
        </xdr:cNvPr>
        <xdr:cNvSpPr/>
      </xdr:nvSpPr>
      <xdr:spPr>
        <a:xfrm>
          <a:off x="7416801" y="4379050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142</xdr:row>
      <xdr:rowOff>231322</xdr:rowOff>
    </xdr:from>
    <xdr:to>
      <xdr:col>2</xdr:col>
      <xdr:colOff>7235427</xdr:colOff>
      <xdr:row>142</xdr:row>
      <xdr:rowOff>495605</xdr:rowOff>
    </xdr:to>
    <xdr:sp macro="[2]!Field_DisplayFootnotes_64" textlink="">
      <xdr:nvSpPr>
        <xdr:cNvPr id="112" name="Rectangle 111">
          <a:extLst>
            <a:ext uri="{FF2B5EF4-FFF2-40B4-BE49-F238E27FC236}">
              <a16:creationId xmlns:a16="http://schemas.microsoft.com/office/drawing/2014/main" id="{56DEBF42-08D9-8948-9F7C-C506E0E8C311}"/>
            </a:ext>
          </a:extLst>
        </xdr:cNvPr>
        <xdr:cNvSpPr/>
      </xdr:nvSpPr>
      <xdr:spPr>
        <a:xfrm>
          <a:off x="7416801" y="4473212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145</xdr:row>
      <xdr:rowOff>2072821</xdr:rowOff>
    </xdr:from>
    <xdr:to>
      <xdr:col>2</xdr:col>
      <xdr:colOff>7235427</xdr:colOff>
      <xdr:row>145</xdr:row>
      <xdr:rowOff>2337104</xdr:rowOff>
    </xdr:to>
    <xdr:sp macro="[2]!Field_DisplayFootnotes_641" textlink="">
      <xdr:nvSpPr>
        <xdr:cNvPr id="113" name="Rectangle 112">
          <a:extLst>
            <a:ext uri="{FF2B5EF4-FFF2-40B4-BE49-F238E27FC236}">
              <a16:creationId xmlns:a16="http://schemas.microsoft.com/office/drawing/2014/main" id="{9F3BB267-B736-1340-815C-2C0C667CF142}"/>
            </a:ext>
          </a:extLst>
        </xdr:cNvPr>
        <xdr:cNvSpPr/>
      </xdr:nvSpPr>
      <xdr:spPr>
        <a:xfrm>
          <a:off x="7416801" y="4711972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148</xdr:row>
      <xdr:rowOff>2122715</xdr:rowOff>
    </xdr:from>
    <xdr:to>
      <xdr:col>2</xdr:col>
      <xdr:colOff>7235427</xdr:colOff>
      <xdr:row>148</xdr:row>
      <xdr:rowOff>2386998</xdr:rowOff>
    </xdr:to>
    <xdr:sp macro="[2]!Field_DisplayFootnotes_642" textlink="">
      <xdr:nvSpPr>
        <xdr:cNvPr id="114" name="Rectangle 113">
          <a:extLst>
            <a:ext uri="{FF2B5EF4-FFF2-40B4-BE49-F238E27FC236}">
              <a16:creationId xmlns:a16="http://schemas.microsoft.com/office/drawing/2014/main" id="{35B8A490-F16D-7B44-B469-CBB8DB4050BA}"/>
            </a:ext>
          </a:extLst>
        </xdr:cNvPr>
        <xdr:cNvSpPr/>
      </xdr:nvSpPr>
      <xdr:spPr>
        <a:xfrm>
          <a:off x="7416801" y="4951911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151</xdr:row>
      <xdr:rowOff>308428</xdr:rowOff>
    </xdr:from>
    <xdr:to>
      <xdr:col>2</xdr:col>
      <xdr:colOff>7235427</xdr:colOff>
      <xdr:row>151</xdr:row>
      <xdr:rowOff>572711</xdr:rowOff>
    </xdr:to>
    <xdr:sp macro="[2]!Field_DisplayFootnotes_65" textlink="">
      <xdr:nvSpPr>
        <xdr:cNvPr id="115" name="Rectangle 114">
          <a:extLst>
            <a:ext uri="{FF2B5EF4-FFF2-40B4-BE49-F238E27FC236}">
              <a16:creationId xmlns:a16="http://schemas.microsoft.com/office/drawing/2014/main" id="{2485E0D3-1B64-4748-8209-E8DDDF3FC4E1}"/>
            </a:ext>
          </a:extLst>
        </xdr:cNvPr>
        <xdr:cNvSpPr/>
      </xdr:nvSpPr>
      <xdr:spPr>
        <a:xfrm>
          <a:off x="7416801" y="5011782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156</xdr:row>
      <xdr:rowOff>226786</xdr:rowOff>
    </xdr:from>
    <xdr:to>
      <xdr:col>2</xdr:col>
      <xdr:colOff>7235427</xdr:colOff>
      <xdr:row>156</xdr:row>
      <xdr:rowOff>491069</xdr:rowOff>
    </xdr:to>
    <xdr:sp macro="[2]!Field_DisplayFootnotes_671" textlink="">
      <xdr:nvSpPr>
        <xdr:cNvPr id="116" name="Rectangle 115">
          <a:extLst>
            <a:ext uri="{FF2B5EF4-FFF2-40B4-BE49-F238E27FC236}">
              <a16:creationId xmlns:a16="http://schemas.microsoft.com/office/drawing/2014/main" id="{DE831B2F-0B3D-C449-B1FE-446FB7AABB98}"/>
            </a:ext>
          </a:extLst>
        </xdr:cNvPr>
        <xdr:cNvSpPr/>
      </xdr:nvSpPr>
      <xdr:spPr>
        <a:xfrm>
          <a:off x="7416801" y="5150938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161</xdr:row>
      <xdr:rowOff>553357</xdr:rowOff>
    </xdr:from>
    <xdr:to>
      <xdr:col>2</xdr:col>
      <xdr:colOff>7235427</xdr:colOff>
      <xdr:row>161</xdr:row>
      <xdr:rowOff>817640</xdr:rowOff>
    </xdr:to>
    <xdr:sp macro="[2]!Field_DisplayFootnotes_71" textlink="">
      <xdr:nvSpPr>
        <xdr:cNvPr id="117" name="Rectangle 116">
          <a:extLst>
            <a:ext uri="{FF2B5EF4-FFF2-40B4-BE49-F238E27FC236}">
              <a16:creationId xmlns:a16="http://schemas.microsoft.com/office/drawing/2014/main" id="{4A093CAB-E7C4-6E49-B25F-24E84F0D9700}"/>
            </a:ext>
          </a:extLst>
        </xdr:cNvPr>
        <xdr:cNvSpPr/>
      </xdr:nvSpPr>
      <xdr:spPr>
        <a:xfrm>
          <a:off x="7416801" y="5318215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163</xdr:row>
      <xdr:rowOff>274411</xdr:rowOff>
    </xdr:from>
    <xdr:to>
      <xdr:col>2</xdr:col>
      <xdr:colOff>7235427</xdr:colOff>
      <xdr:row>163</xdr:row>
      <xdr:rowOff>533251</xdr:rowOff>
    </xdr:to>
    <xdr:sp macro="[2]!Field_DisplayFootnotes_72" textlink="">
      <xdr:nvSpPr>
        <xdr:cNvPr id="118" name="Rectangle 117">
          <a:extLst>
            <a:ext uri="{FF2B5EF4-FFF2-40B4-BE49-F238E27FC236}">
              <a16:creationId xmlns:a16="http://schemas.microsoft.com/office/drawing/2014/main" id="{00036087-3CA1-CE43-9B75-7D04F564FAA7}"/>
            </a:ext>
          </a:extLst>
        </xdr:cNvPr>
        <xdr:cNvSpPr/>
      </xdr:nvSpPr>
      <xdr:spPr>
        <a:xfrm>
          <a:off x="7416801" y="53766811"/>
          <a:ext cx="1329926" cy="258840"/>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5898697</xdr:colOff>
      <xdr:row>165</xdr:row>
      <xdr:rowOff>272144</xdr:rowOff>
    </xdr:from>
    <xdr:to>
      <xdr:col>2</xdr:col>
      <xdr:colOff>7228623</xdr:colOff>
      <xdr:row>165</xdr:row>
      <xdr:rowOff>536427</xdr:rowOff>
    </xdr:to>
    <xdr:sp macro="[2]!Field_DisplayFootnotes_73" textlink="">
      <xdr:nvSpPr>
        <xdr:cNvPr id="119" name="Rectangle 118">
          <a:extLst>
            <a:ext uri="{FF2B5EF4-FFF2-40B4-BE49-F238E27FC236}">
              <a16:creationId xmlns:a16="http://schemas.microsoft.com/office/drawing/2014/main" id="{99D34296-7C44-2E46-8B10-357DC820F085}"/>
            </a:ext>
          </a:extLst>
        </xdr:cNvPr>
        <xdr:cNvSpPr/>
      </xdr:nvSpPr>
      <xdr:spPr>
        <a:xfrm>
          <a:off x="7409997" y="5436144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169</xdr:row>
      <xdr:rowOff>345780</xdr:rowOff>
    </xdr:from>
    <xdr:to>
      <xdr:col>2</xdr:col>
      <xdr:colOff>7235427</xdr:colOff>
      <xdr:row>169</xdr:row>
      <xdr:rowOff>610063</xdr:rowOff>
    </xdr:to>
    <xdr:sp macro="[2]!Field_DisplayFootnotes_76" textlink="">
      <xdr:nvSpPr>
        <xdr:cNvPr id="120" name="Rectangle 119">
          <a:extLst>
            <a:ext uri="{FF2B5EF4-FFF2-40B4-BE49-F238E27FC236}">
              <a16:creationId xmlns:a16="http://schemas.microsoft.com/office/drawing/2014/main" id="{CD876060-59CA-FB4E-A704-448E0A1EE646}"/>
            </a:ext>
          </a:extLst>
        </xdr:cNvPr>
        <xdr:cNvSpPr/>
      </xdr:nvSpPr>
      <xdr:spPr>
        <a:xfrm>
          <a:off x="7416801" y="5628928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172</xdr:row>
      <xdr:rowOff>296882</xdr:rowOff>
    </xdr:from>
    <xdr:to>
      <xdr:col>2</xdr:col>
      <xdr:colOff>7235427</xdr:colOff>
      <xdr:row>172</xdr:row>
      <xdr:rowOff>561165</xdr:rowOff>
    </xdr:to>
    <xdr:sp macro="[2]!Field_DisplayFootnotes_78" textlink="">
      <xdr:nvSpPr>
        <xdr:cNvPr id="121" name="Rectangle 120">
          <a:extLst>
            <a:ext uri="{FF2B5EF4-FFF2-40B4-BE49-F238E27FC236}">
              <a16:creationId xmlns:a16="http://schemas.microsoft.com/office/drawing/2014/main" id="{9642754E-6C01-2348-B9C1-D1D07B401FE3}"/>
            </a:ext>
          </a:extLst>
        </xdr:cNvPr>
        <xdr:cNvSpPr/>
      </xdr:nvSpPr>
      <xdr:spPr>
        <a:xfrm>
          <a:off x="7416801" y="5752308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175</xdr:row>
      <xdr:rowOff>252350</xdr:rowOff>
    </xdr:from>
    <xdr:to>
      <xdr:col>2</xdr:col>
      <xdr:colOff>7235427</xdr:colOff>
      <xdr:row>175</xdr:row>
      <xdr:rowOff>516633</xdr:rowOff>
    </xdr:to>
    <xdr:sp macro="[2]!Field_DisplayFootnotes_710" textlink="">
      <xdr:nvSpPr>
        <xdr:cNvPr id="122" name="Rectangle 121">
          <a:extLst>
            <a:ext uri="{FF2B5EF4-FFF2-40B4-BE49-F238E27FC236}">
              <a16:creationId xmlns:a16="http://schemas.microsoft.com/office/drawing/2014/main" id="{12FCC6FD-5DCD-474F-9294-75EC54943B87}"/>
            </a:ext>
          </a:extLst>
        </xdr:cNvPr>
        <xdr:cNvSpPr/>
      </xdr:nvSpPr>
      <xdr:spPr>
        <a:xfrm>
          <a:off x="7416801" y="5871045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182</xdr:row>
      <xdr:rowOff>465119</xdr:rowOff>
    </xdr:from>
    <xdr:to>
      <xdr:col>2</xdr:col>
      <xdr:colOff>7235427</xdr:colOff>
      <xdr:row>182</xdr:row>
      <xdr:rowOff>729402</xdr:rowOff>
    </xdr:to>
    <xdr:sp macro="[2]!Field_DisplayFootnotes_8DUME" textlink="">
      <xdr:nvSpPr>
        <xdr:cNvPr id="123" name="Rectangle 122">
          <a:extLst>
            <a:ext uri="{FF2B5EF4-FFF2-40B4-BE49-F238E27FC236}">
              <a16:creationId xmlns:a16="http://schemas.microsoft.com/office/drawing/2014/main" id="{FFA54ED0-08AB-8047-992E-48590083D543}"/>
            </a:ext>
          </a:extLst>
        </xdr:cNvPr>
        <xdr:cNvSpPr/>
      </xdr:nvSpPr>
      <xdr:spPr>
        <a:xfrm>
          <a:off x="7416801" y="6087901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186</xdr:row>
      <xdr:rowOff>1404628</xdr:rowOff>
    </xdr:from>
    <xdr:to>
      <xdr:col>2</xdr:col>
      <xdr:colOff>7235427</xdr:colOff>
      <xdr:row>186</xdr:row>
      <xdr:rowOff>1666875</xdr:rowOff>
    </xdr:to>
    <xdr:sp macro="[2]!Field_DisplayFootnotes_81" textlink="">
      <xdr:nvSpPr>
        <xdr:cNvPr id="124" name="Rectangle 123">
          <a:extLst>
            <a:ext uri="{FF2B5EF4-FFF2-40B4-BE49-F238E27FC236}">
              <a16:creationId xmlns:a16="http://schemas.microsoft.com/office/drawing/2014/main" id="{9832CD1A-6732-E341-B8A2-7D9994CF7FA1}"/>
            </a:ext>
          </a:extLst>
        </xdr:cNvPr>
        <xdr:cNvSpPr/>
      </xdr:nvSpPr>
      <xdr:spPr>
        <a:xfrm>
          <a:off x="7416801" y="62834528"/>
          <a:ext cx="1329926" cy="262247"/>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193</xdr:row>
      <xdr:rowOff>29689</xdr:rowOff>
    </xdr:from>
    <xdr:to>
      <xdr:col>2</xdr:col>
      <xdr:colOff>7235427</xdr:colOff>
      <xdr:row>193</xdr:row>
      <xdr:rowOff>293972</xdr:rowOff>
    </xdr:to>
    <xdr:sp macro="[2]!Field_DisplayFootnotes_8CSME" textlink="">
      <xdr:nvSpPr>
        <xdr:cNvPr id="125" name="Rectangle 124">
          <a:extLst>
            <a:ext uri="{FF2B5EF4-FFF2-40B4-BE49-F238E27FC236}">
              <a16:creationId xmlns:a16="http://schemas.microsoft.com/office/drawing/2014/main" id="{6CA79E6D-85B0-C749-A59C-1179FFDD0268}"/>
            </a:ext>
          </a:extLst>
        </xdr:cNvPr>
        <xdr:cNvSpPr/>
      </xdr:nvSpPr>
      <xdr:spPr>
        <a:xfrm>
          <a:off x="7416801" y="6482508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5898698</xdr:colOff>
      <xdr:row>195</xdr:row>
      <xdr:rowOff>47226</xdr:rowOff>
    </xdr:from>
    <xdr:to>
      <xdr:col>2</xdr:col>
      <xdr:colOff>7228624</xdr:colOff>
      <xdr:row>195</xdr:row>
      <xdr:rowOff>311509</xdr:rowOff>
    </xdr:to>
    <xdr:sp macro="[2]!Field_DisplayFootnotes_83" textlink="">
      <xdr:nvSpPr>
        <xdr:cNvPr id="126" name="Rectangle 125">
          <a:extLst>
            <a:ext uri="{FF2B5EF4-FFF2-40B4-BE49-F238E27FC236}">
              <a16:creationId xmlns:a16="http://schemas.microsoft.com/office/drawing/2014/main" id="{9381D099-77BF-8647-8600-5FAF8A830557}"/>
            </a:ext>
          </a:extLst>
        </xdr:cNvPr>
        <xdr:cNvSpPr/>
      </xdr:nvSpPr>
      <xdr:spPr>
        <a:xfrm>
          <a:off x="7409998" y="65223626"/>
          <a:ext cx="1329926" cy="2261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199</xdr:row>
      <xdr:rowOff>440376</xdr:rowOff>
    </xdr:from>
    <xdr:to>
      <xdr:col>2</xdr:col>
      <xdr:colOff>7235427</xdr:colOff>
      <xdr:row>199</xdr:row>
      <xdr:rowOff>704659</xdr:rowOff>
    </xdr:to>
    <xdr:sp macro="[2]!Field_DisplayFootnotes_91" textlink="">
      <xdr:nvSpPr>
        <xdr:cNvPr id="127" name="Rectangle 126">
          <a:extLst>
            <a:ext uri="{FF2B5EF4-FFF2-40B4-BE49-F238E27FC236}">
              <a16:creationId xmlns:a16="http://schemas.microsoft.com/office/drawing/2014/main" id="{7CD3C9A4-CFEC-F74E-900B-BA2BB9122373}"/>
            </a:ext>
          </a:extLst>
        </xdr:cNvPr>
        <xdr:cNvSpPr/>
      </xdr:nvSpPr>
      <xdr:spPr>
        <a:xfrm>
          <a:off x="7416801" y="6659467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201</xdr:row>
      <xdr:rowOff>286986</xdr:rowOff>
    </xdr:from>
    <xdr:to>
      <xdr:col>2</xdr:col>
      <xdr:colOff>7235427</xdr:colOff>
      <xdr:row>201</xdr:row>
      <xdr:rowOff>551269</xdr:rowOff>
    </xdr:to>
    <xdr:sp macro="[2]!Field_DisplayFootnotes_911" textlink="">
      <xdr:nvSpPr>
        <xdr:cNvPr id="128" name="Rectangle 127">
          <a:extLst>
            <a:ext uri="{FF2B5EF4-FFF2-40B4-BE49-F238E27FC236}">
              <a16:creationId xmlns:a16="http://schemas.microsoft.com/office/drawing/2014/main" id="{81CB8E30-05DD-E449-8A82-B08198DE81BE}"/>
            </a:ext>
          </a:extLst>
        </xdr:cNvPr>
        <xdr:cNvSpPr/>
      </xdr:nvSpPr>
      <xdr:spPr>
        <a:xfrm>
          <a:off x="7416801" y="6716518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205</xdr:row>
      <xdr:rowOff>841168</xdr:rowOff>
    </xdr:from>
    <xdr:to>
      <xdr:col>2</xdr:col>
      <xdr:colOff>7235427</xdr:colOff>
      <xdr:row>205</xdr:row>
      <xdr:rowOff>1105451</xdr:rowOff>
    </xdr:to>
    <xdr:sp macro="[2]!Field_DisplayFootnotes_10_1" textlink="">
      <xdr:nvSpPr>
        <xdr:cNvPr id="129" name="Rectangle 128">
          <a:extLst>
            <a:ext uri="{FF2B5EF4-FFF2-40B4-BE49-F238E27FC236}">
              <a16:creationId xmlns:a16="http://schemas.microsoft.com/office/drawing/2014/main" id="{56D6A483-DC9C-E641-ABEF-C2981E3A9A68}"/>
            </a:ext>
          </a:extLst>
        </xdr:cNvPr>
        <xdr:cNvSpPr/>
      </xdr:nvSpPr>
      <xdr:spPr>
        <a:xfrm>
          <a:off x="7416801" y="6872266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209</xdr:row>
      <xdr:rowOff>207819</xdr:rowOff>
    </xdr:from>
    <xdr:to>
      <xdr:col>2</xdr:col>
      <xdr:colOff>7235427</xdr:colOff>
      <xdr:row>209</xdr:row>
      <xdr:rowOff>472102</xdr:rowOff>
    </xdr:to>
    <xdr:sp macro="[2]!Field_DisplayFootnotes_10_2" textlink="">
      <xdr:nvSpPr>
        <xdr:cNvPr id="130" name="Rectangle 129">
          <a:extLst>
            <a:ext uri="{FF2B5EF4-FFF2-40B4-BE49-F238E27FC236}">
              <a16:creationId xmlns:a16="http://schemas.microsoft.com/office/drawing/2014/main" id="{33852450-624C-1044-9F1C-25320AF52034}"/>
            </a:ext>
          </a:extLst>
        </xdr:cNvPr>
        <xdr:cNvSpPr/>
      </xdr:nvSpPr>
      <xdr:spPr>
        <a:xfrm>
          <a:off x="7416801" y="6924501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212</xdr:row>
      <xdr:rowOff>460169</xdr:rowOff>
    </xdr:from>
    <xdr:to>
      <xdr:col>2</xdr:col>
      <xdr:colOff>7235427</xdr:colOff>
      <xdr:row>212</xdr:row>
      <xdr:rowOff>724452</xdr:rowOff>
    </xdr:to>
    <xdr:sp macro="[2]!Field_DisplayFootnotes_10_3" textlink="">
      <xdr:nvSpPr>
        <xdr:cNvPr id="131" name="Rectangle 130">
          <a:extLst>
            <a:ext uri="{FF2B5EF4-FFF2-40B4-BE49-F238E27FC236}">
              <a16:creationId xmlns:a16="http://schemas.microsoft.com/office/drawing/2014/main" id="{1414769D-3784-BE44-99D2-D9F132546789}"/>
            </a:ext>
          </a:extLst>
        </xdr:cNvPr>
        <xdr:cNvSpPr/>
      </xdr:nvSpPr>
      <xdr:spPr>
        <a:xfrm>
          <a:off x="7416801" y="6997996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216</xdr:row>
      <xdr:rowOff>405739</xdr:rowOff>
    </xdr:from>
    <xdr:to>
      <xdr:col>2</xdr:col>
      <xdr:colOff>7235427</xdr:colOff>
      <xdr:row>216</xdr:row>
      <xdr:rowOff>670022</xdr:rowOff>
    </xdr:to>
    <xdr:sp macro="[2]!Field_DisplayFootnotes_11_1" textlink="">
      <xdr:nvSpPr>
        <xdr:cNvPr id="132" name="Rectangle 131">
          <a:extLst>
            <a:ext uri="{FF2B5EF4-FFF2-40B4-BE49-F238E27FC236}">
              <a16:creationId xmlns:a16="http://schemas.microsoft.com/office/drawing/2014/main" id="{E3238396-659B-5044-A11D-5B0835EBB1F2}"/>
            </a:ext>
          </a:extLst>
        </xdr:cNvPr>
        <xdr:cNvSpPr/>
      </xdr:nvSpPr>
      <xdr:spPr>
        <a:xfrm>
          <a:off x="7416801" y="7118283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218</xdr:row>
      <xdr:rowOff>470065</xdr:rowOff>
    </xdr:from>
    <xdr:to>
      <xdr:col>2</xdr:col>
      <xdr:colOff>7235427</xdr:colOff>
      <xdr:row>218</xdr:row>
      <xdr:rowOff>734348</xdr:rowOff>
    </xdr:to>
    <xdr:sp macro="[2]!Field_DisplayFootnotes_11_2" textlink="">
      <xdr:nvSpPr>
        <xdr:cNvPr id="133" name="Rectangle 132">
          <a:extLst>
            <a:ext uri="{FF2B5EF4-FFF2-40B4-BE49-F238E27FC236}">
              <a16:creationId xmlns:a16="http://schemas.microsoft.com/office/drawing/2014/main" id="{20EDB4DC-9735-C541-A017-D4030C446940}"/>
            </a:ext>
          </a:extLst>
        </xdr:cNvPr>
        <xdr:cNvSpPr/>
      </xdr:nvSpPr>
      <xdr:spPr>
        <a:xfrm>
          <a:off x="7416801" y="7194566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221</xdr:row>
      <xdr:rowOff>54428</xdr:rowOff>
    </xdr:from>
    <xdr:to>
      <xdr:col>2</xdr:col>
      <xdr:colOff>7235427</xdr:colOff>
      <xdr:row>221</xdr:row>
      <xdr:rowOff>318711</xdr:rowOff>
    </xdr:to>
    <xdr:sp macro="[2]!Field_DisplayFootnotes_11_4" textlink="">
      <xdr:nvSpPr>
        <xdr:cNvPr id="134" name="Rectangle 133">
          <a:extLst>
            <a:ext uri="{FF2B5EF4-FFF2-40B4-BE49-F238E27FC236}">
              <a16:creationId xmlns:a16="http://schemas.microsoft.com/office/drawing/2014/main" id="{AFD99FF5-A651-FB4B-89D9-AAE6915F0599}"/>
            </a:ext>
          </a:extLst>
        </xdr:cNvPr>
        <xdr:cNvSpPr/>
      </xdr:nvSpPr>
      <xdr:spPr>
        <a:xfrm>
          <a:off x="7416801" y="7254602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5891894</xdr:colOff>
      <xdr:row>223</xdr:row>
      <xdr:rowOff>289460</xdr:rowOff>
    </xdr:from>
    <xdr:to>
      <xdr:col>2</xdr:col>
      <xdr:colOff>7221820</xdr:colOff>
      <xdr:row>223</xdr:row>
      <xdr:rowOff>578304</xdr:rowOff>
    </xdr:to>
    <xdr:sp macro="[2]!Field_DisplayFootnotes_11_5" textlink="">
      <xdr:nvSpPr>
        <xdr:cNvPr id="135" name="Rectangle 134">
          <a:extLst>
            <a:ext uri="{FF2B5EF4-FFF2-40B4-BE49-F238E27FC236}">
              <a16:creationId xmlns:a16="http://schemas.microsoft.com/office/drawing/2014/main" id="{4FD07535-0198-214D-8EA2-3FA29D7AB798}"/>
            </a:ext>
          </a:extLst>
        </xdr:cNvPr>
        <xdr:cNvSpPr/>
      </xdr:nvSpPr>
      <xdr:spPr>
        <a:xfrm>
          <a:off x="7403194" y="73149360"/>
          <a:ext cx="1329926" cy="288844"/>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226</xdr:row>
      <xdr:rowOff>44533</xdr:rowOff>
    </xdr:from>
    <xdr:to>
      <xdr:col>2</xdr:col>
      <xdr:colOff>7235427</xdr:colOff>
      <xdr:row>226</xdr:row>
      <xdr:rowOff>308816</xdr:rowOff>
    </xdr:to>
    <xdr:sp macro="[2]!Field_DisplayFootnotes_12_1" textlink="">
      <xdr:nvSpPr>
        <xdr:cNvPr id="136" name="Rectangle 135">
          <a:extLst>
            <a:ext uri="{FF2B5EF4-FFF2-40B4-BE49-F238E27FC236}">
              <a16:creationId xmlns:a16="http://schemas.microsoft.com/office/drawing/2014/main" id="{6C8E6F33-75B8-DC4A-9CA0-A6652193B808}"/>
            </a:ext>
          </a:extLst>
        </xdr:cNvPr>
        <xdr:cNvSpPr/>
      </xdr:nvSpPr>
      <xdr:spPr>
        <a:xfrm>
          <a:off x="7416801" y="7379343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228</xdr:row>
      <xdr:rowOff>484909</xdr:rowOff>
    </xdr:from>
    <xdr:to>
      <xdr:col>2</xdr:col>
      <xdr:colOff>7235427</xdr:colOff>
      <xdr:row>228</xdr:row>
      <xdr:rowOff>749192</xdr:rowOff>
    </xdr:to>
    <xdr:sp macro="[2]!Field_DisplayFootnotes_12_11" textlink="">
      <xdr:nvSpPr>
        <xdr:cNvPr id="137" name="Rectangle 136">
          <a:extLst>
            <a:ext uri="{FF2B5EF4-FFF2-40B4-BE49-F238E27FC236}">
              <a16:creationId xmlns:a16="http://schemas.microsoft.com/office/drawing/2014/main" id="{80C2A82A-0684-F149-A5B8-A6A6C1DFE5E9}"/>
            </a:ext>
          </a:extLst>
        </xdr:cNvPr>
        <xdr:cNvSpPr/>
      </xdr:nvSpPr>
      <xdr:spPr>
        <a:xfrm>
          <a:off x="7416801" y="7461480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230</xdr:row>
      <xdr:rowOff>573974</xdr:rowOff>
    </xdr:from>
    <xdr:to>
      <xdr:col>2</xdr:col>
      <xdr:colOff>7235427</xdr:colOff>
      <xdr:row>230</xdr:row>
      <xdr:rowOff>838257</xdr:rowOff>
    </xdr:to>
    <xdr:sp macro="[2]!Field_DisplayFootnotes_12_12" textlink="">
      <xdr:nvSpPr>
        <xdr:cNvPr id="138" name="Rectangle 137">
          <a:extLst>
            <a:ext uri="{FF2B5EF4-FFF2-40B4-BE49-F238E27FC236}">
              <a16:creationId xmlns:a16="http://schemas.microsoft.com/office/drawing/2014/main" id="{F8329217-0D44-7F47-AD82-9B10E9664203}"/>
            </a:ext>
          </a:extLst>
        </xdr:cNvPr>
        <xdr:cNvSpPr/>
      </xdr:nvSpPr>
      <xdr:spPr>
        <a:xfrm>
          <a:off x="7416801" y="7547857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232</xdr:row>
      <xdr:rowOff>79169</xdr:rowOff>
    </xdr:from>
    <xdr:to>
      <xdr:col>2</xdr:col>
      <xdr:colOff>7235427</xdr:colOff>
      <xdr:row>232</xdr:row>
      <xdr:rowOff>343452</xdr:rowOff>
    </xdr:to>
    <xdr:sp macro="[2]!Field_DisplayFootnotes_12_2" textlink="">
      <xdr:nvSpPr>
        <xdr:cNvPr id="139" name="Rectangle 138">
          <a:extLst>
            <a:ext uri="{FF2B5EF4-FFF2-40B4-BE49-F238E27FC236}">
              <a16:creationId xmlns:a16="http://schemas.microsoft.com/office/drawing/2014/main" id="{3CAF9054-D67B-674A-A0A4-48AC1B172B80}"/>
            </a:ext>
          </a:extLst>
        </xdr:cNvPr>
        <xdr:cNvSpPr/>
      </xdr:nvSpPr>
      <xdr:spPr>
        <a:xfrm>
          <a:off x="7416801" y="7583466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234</xdr:row>
      <xdr:rowOff>539338</xdr:rowOff>
    </xdr:from>
    <xdr:to>
      <xdr:col>2</xdr:col>
      <xdr:colOff>7235427</xdr:colOff>
      <xdr:row>234</xdr:row>
      <xdr:rowOff>803621</xdr:rowOff>
    </xdr:to>
    <xdr:sp macro="[2]!Field_DisplayFootnotes_12_21" textlink="">
      <xdr:nvSpPr>
        <xdr:cNvPr id="140" name="Rectangle 139">
          <a:extLst>
            <a:ext uri="{FF2B5EF4-FFF2-40B4-BE49-F238E27FC236}">
              <a16:creationId xmlns:a16="http://schemas.microsoft.com/office/drawing/2014/main" id="{40D63B02-C628-864D-BC4A-7D422BE47270}"/>
            </a:ext>
          </a:extLst>
        </xdr:cNvPr>
        <xdr:cNvSpPr/>
      </xdr:nvSpPr>
      <xdr:spPr>
        <a:xfrm>
          <a:off x="7416801" y="7665043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237</xdr:row>
      <xdr:rowOff>504701</xdr:rowOff>
    </xdr:from>
    <xdr:to>
      <xdr:col>2</xdr:col>
      <xdr:colOff>7235427</xdr:colOff>
      <xdr:row>237</xdr:row>
      <xdr:rowOff>768984</xdr:rowOff>
    </xdr:to>
    <xdr:sp macro="[2]!Field_DisplayFootnotes_12_22" textlink="">
      <xdr:nvSpPr>
        <xdr:cNvPr id="141" name="Rectangle 140">
          <a:extLst>
            <a:ext uri="{FF2B5EF4-FFF2-40B4-BE49-F238E27FC236}">
              <a16:creationId xmlns:a16="http://schemas.microsoft.com/office/drawing/2014/main" id="{81C26472-D0D2-4848-A076-615842070843}"/>
            </a:ext>
          </a:extLst>
        </xdr:cNvPr>
        <xdr:cNvSpPr/>
      </xdr:nvSpPr>
      <xdr:spPr>
        <a:xfrm>
          <a:off x="7416801" y="77441301"/>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242</xdr:row>
      <xdr:rowOff>435428</xdr:rowOff>
    </xdr:from>
    <xdr:to>
      <xdr:col>2</xdr:col>
      <xdr:colOff>7235427</xdr:colOff>
      <xdr:row>242</xdr:row>
      <xdr:rowOff>699711</xdr:rowOff>
    </xdr:to>
    <xdr:sp macro="[2]!Field_DisplayFootnotes_12_5" textlink="">
      <xdr:nvSpPr>
        <xdr:cNvPr id="142" name="Rectangle 141">
          <a:extLst>
            <a:ext uri="{FF2B5EF4-FFF2-40B4-BE49-F238E27FC236}">
              <a16:creationId xmlns:a16="http://schemas.microsoft.com/office/drawing/2014/main" id="{DAF7F950-D8E6-DF41-8CD4-3E50CCBCA2AF}"/>
            </a:ext>
          </a:extLst>
        </xdr:cNvPr>
        <xdr:cNvSpPr/>
      </xdr:nvSpPr>
      <xdr:spPr>
        <a:xfrm>
          <a:off x="7416801" y="7906112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245</xdr:row>
      <xdr:rowOff>465117</xdr:rowOff>
    </xdr:from>
    <xdr:to>
      <xdr:col>2</xdr:col>
      <xdr:colOff>7235427</xdr:colOff>
      <xdr:row>245</xdr:row>
      <xdr:rowOff>729400</xdr:rowOff>
    </xdr:to>
    <xdr:sp macro="[2]!Field_DisplayFootnotes_12_6" textlink="">
      <xdr:nvSpPr>
        <xdr:cNvPr id="143" name="Rectangle 142">
          <a:extLst>
            <a:ext uri="{FF2B5EF4-FFF2-40B4-BE49-F238E27FC236}">
              <a16:creationId xmlns:a16="http://schemas.microsoft.com/office/drawing/2014/main" id="{97017527-C2D7-9245-B66A-835C14EF653F}"/>
            </a:ext>
          </a:extLst>
        </xdr:cNvPr>
        <xdr:cNvSpPr/>
      </xdr:nvSpPr>
      <xdr:spPr>
        <a:xfrm>
          <a:off x="7416801" y="79814717"/>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248</xdr:row>
      <xdr:rowOff>326572</xdr:rowOff>
    </xdr:from>
    <xdr:to>
      <xdr:col>2</xdr:col>
      <xdr:colOff>7235427</xdr:colOff>
      <xdr:row>248</xdr:row>
      <xdr:rowOff>590855</xdr:rowOff>
    </xdr:to>
    <xdr:sp macro="[2]!Field_DisplayFootnotes_12_7" textlink="">
      <xdr:nvSpPr>
        <xdr:cNvPr id="144" name="Rectangle 143">
          <a:extLst>
            <a:ext uri="{FF2B5EF4-FFF2-40B4-BE49-F238E27FC236}">
              <a16:creationId xmlns:a16="http://schemas.microsoft.com/office/drawing/2014/main" id="{FECC6D31-3176-1D45-AAD2-9CE71CDFED1B}"/>
            </a:ext>
          </a:extLst>
        </xdr:cNvPr>
        <xdr:cNvSpPr/>
      </xdr:nvSpPr>
      <xdr:spPr>
        <a:xfrm>
          <a:off x="7416801" y="8042547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251</xdr:row>
      <xdr:rowOff>435428</xdr:rowOff>
    </xdr:from>
    <xdr:to>
      <xdr:col>2</xdr:col>
      <xdr:colOff>7235427</xdr:colOff>
      <xdr:row>251</xdr:row>
      <xdr:rowOff>699711</xdr:rowOff>
    </xdr:to>
    <xdr:sp macro="[2]!Field_DisplayFootnotes_13_1" textlink="">
      <xdr:nvSpPr>
        <xdr:cNvPr id="145" name="Rectangle 144">
          <a:extLst>
            <a:ext uri="{FF2B5EF4-FFF2-40B4-BE49-F238E27FC236}">
              <a16:creationId xmlns:a16="http://schemas.microsoft.com/office/drawing/2014/main" id="{D6BAED5F-0C28-F444-842B-920CAB8C7109}"/>
            </a:ext>
          </a:extLst>
        </xdr:cNvPr>
        <xdr:cNvSpPr/>
      </xdr:nvSpPr>
      <xdr:spPr>
        <a:xfrm>
          <a:off x="7416801" y="8142332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253</xdr:row>
      <xdr:rowOff>425533</xdr:rowOff>
    </xdr:from>
    <xdr:to>
      <xdr:col>2</xdr:col>
      <xdr:colOff>7235427</xdr:colOff>
      <xdr:row>253</xdr:row>
      <xdr:rowOff>689816</xdr:rowOff>
    </xdr:to>
    <xdr:sp macro="[2]!Field_DisplayFootnotes_13_2" textlink="">
      <xdr:nvSpPr>
        <xdr:cNvPr id="146" name="Rectangle 145">
          <a:extLst>
            <a:ext uri="{FF2B5EF4-FFF2-40B4-BE49-F238E27FC236}">
              <a16:creationId xmlns:a16="http://schemas.microsoft.com/office/drawing/2014/main" id="{BF04A6C6-7817-0746-B3AB-FD044623553E}"/>
            </a:ext>
          </a:extLst>
        </xdr:cNvPr>
        <xdr:cNvSpPr/>
      </xdr:nvSpPr>
      <xdr:spPr>
        <a:xfrm>
          <a:off x="7416801" y="8213733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257</xdr:row>
      <xdr:rowOff>509650</xdr:rowOff>
    </xdr:from>
    <xdr:to>
      <xdr:col>2</xdr:col>
      <xdr:colOff>7235427</xdr:colOff>
      <xdr:row>257</xdr:row>
      <xdr:rowOff>773933</xdr:rowOff>
    </xdr:to>
    <xdr:sp macro="[2]!Field_DisplayFootnotes_14_1" textlink="">
      <xdr:nvSpPr>
        <xdr:cNvPr id="147" name="Rectangle 146">
          <a:extLst>
            <a:ext uri="{FF2B5EF4-FFF2-40B4-BE49-F238E27FC236}">
              <a16:creationId xmlns:a16="http://schemas.microsoft.com/office/drawing/2014/main" id="{C8F17C8B-BF5C-9A4D-AEB2-0C2018855108}"/>
            </a:ext>
          </a:extLst>
        </xdr:cNvPr>
        <xdr:cNvSpPr/>
      </xdr:nvSpPr>
      <xdr:spPr>
        <a:xfrm>
          <a:off x="7416801" y="83593050"/>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187</xdr:row>
      <xdr:rowOff>29688</xdr:rowOff>
    </xdr:from>
    <xdr:to>
      <xdr:col>2</xdr:col>
      <xdr:colOff>7235427</xdr:colOff>
      <xdr:row>187</xdr:row>
      <xdr:rowOff>293971</xdr:rowOff>
    </xdr:to>
    <xdr:sp macro="[2]!HideFootnotes_Field" textlink="">
      <xdr:nvSpPr>
        <xdr:cNvPr id="148" name="Rectangle 147">
          <a:extLst>
            <a:ext uri="{FF2B5EF4-FFF2-40B4-BE49-F238E27FC236}">
              <a16:creationId xmlns:a16="http://schemas.microsoft.com/office/drawing/2014/main" id="{4FEE49D4-90B0-444E-AE9F-3650D9A56288}"/>
            </a:ext>
          </a:extLst>
        </xdr:cNvPr>
        <xdr:cNvSpPr/>
      </xdr:nvSpPr>
      <xdr:spPr>
        <a:xfrm>
          <a:off x="7416801" y="631190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192</xdr:row>
      <xdr:rowOff>29688</xdr:rowOff>
    </xdr:from>
    <xdr:to>
      <xdr:col>2</xdr:col>
      <xdr:colOff>7235427</xdr:colOff>
      <xdr:row>192</xdr:row>
      <xdr:rowOff>293971</xdr:rowOff>
    </xdr:to>
    <xdr:sp macro="[2]!HideFootnotes_Field" textlink="">
      <xdr:nvSpPr>
        <xdr:cNvPr id="149" name="Rectangle 148">
          <a:extLst>
            <a:ext uri="{FF2B5EF4-FFF2-40B4-BE49-F238E27FC236}">
              <a16:creationId xmlns:a16="http://schemas.microsoft.com/office/drawing/2014/main" id="{09031E64-ECE3-5047-A13A-6454989D2120}"/>
            </a:ext>
          </a:extLst>
        </xdr:cNvPr>
        <xdr:cNvSpPr/>
      </xdr:nvSpPr>
      <xdr:spPr>
        <a:xfrm>
          <a:off x="7416801" y="647954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5914572</xdr:colOff>
      <xdr:row>191</xdr:row>
      <xdr:rowOff>1306286</xdr:rowOff>
    </xdr:from>
    <xdr:to>
      <xdr:col>2</xdr:col>
      <xdr:colOff>7244498</xdr:colOff>
      <xdr:row>191</xdr:row>
      <xdr:rowOff>1570569</xdr:rowOff>
    </xdr:to>
    <xdr:sp macro="[2]!Field_DisplayFootnotes_82" textlink="">
      <xdr:nvSpPr>
        <xdr:cNvPr id="150" name="Rectangle 149">
          <a:extLst>
            <a:ext uri="{FF2B5EF4-FFF2-40B4-BE49-F238E27FC236}">
              <a16:creationId xmlns:a16="http://schemas.microsoft.com/office/drawing/2014/main" id="{39F22D26-CBCB-F447-AB9F-634F25B40747}"/>
            </a:ext>
          </a:extLst>
        </xdr:cNvPr>
        <xdr:cNvSpPr/>
      </xdr:nvSpPr>
      <xdr:spPr>
        <a:xfrm>
          <a:off x="7425872" y="6442528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5893837</xdr:colOff>
      <xdr:row>75</xdr:row>
      <xdr:rowOff>54429</xdr:rowOff>
    </xdr:from>
    <xdr:to>
      <xdr:col>2</xdr:col>
      <xdr:colOff>7223763</xdr:colOff>
      <xdr:row>75</xdr:row>
      <xdr:rowOff>318712</xdr:rowOff>
    </xdr:to>
    <xdr:sp macro="[2]!HideFootnotes_Field" textlink="">
      <xdr:nvSpPr>
        <xdr:cNvPr id="151" name="Rectangle 150">
          <a:extLst>
            <a:ext uri="{FF2B5EF4-FFF2-40B4-BE49-F238E27FC236}">
              <a16:creationId xmlns:a16="http://schemas.microsoft.com/office/drawing/2014/main" id="{A035053D-FC01-5347-9148-B62B6213F9F0}"/>
            </a:ext>
          </a:extLst>
        </xdr:cNvPr>
        <xdr:cNvSpPr/>
      </xdr:nvSpPr>
      <xdr:spPr>
        <a:xfrm>
          <a:off x="7405137" y="19011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104</xdr:row>
      <xdr:rowOff>29689</xdr:rowOff>
    </xdr:from>
    <xdr:to>
      <xdr:col>2</xdr:col>
      <xdr:colOff>7235427</xdr:colOff>
      <xdr:row>104</xdr:row>
      <xdr:rowOff>293972</xdr:rowOff>
    </xdr:to>
    <xdr:sp macro="[2]!HideFootnotes_Field" textlink="">
      <xdr:nvSpPr>
        <xdr:cNvPr id="152" name="Rectangle 151">
          <a:extLst>
            <a:ext uri="{FF2B5EF4-FFF2-40B4-BE49-F238E27FC236}">
              <a16:creationId xmlns:a16="http://schemas.microsoft.com/office/drawing/2014/main" id="{7BDF4B61-A403-E544-AB58-8D07DAB0321D}"/>
            </a:ext>
          </a:extLst>
        </xdr:cNvPr>
        <xdr:cNvSpPr/>
      </xdr:nvSpPr>
      <xdr:spPr>
        <a:xfrm>
          <a:off x="7416801" y="278765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5878286</xdr:colOff>
      <xdr:row>103</xdr:row>
      <xdr:rowOff>265339</xdr:rowOff>
    </xdr:from>
    <xdr:to>
      <xdr:col>2</xdr:col>
      <xdr:colOff>7208212</xdr:colOff>
      <xdr:row>103</xdr:row>
      <xdr:rowOff>529622</xdr:rowOff>
    </xdr:to>
    <xdr:sp macro="[2]!Field_DisplayFootnotes_5" textlink="">
      <xdr:nvSpPr>
        <xdr:cNvPr id="153" name="Rectangle 152">
          <a:extLst>
            <a:ext uri="{FF2B5EF4-FFF2-40B4-BE49-F238E27FC236}">
              <a16:creationId xmlns:a16="http://schemas.microsoft.com/office/drawing/2014/main" id="{E312C45A-A07E-644D-BB0C-1BB504113E20}"/>
            </a:ext>
          </a:extLst>
        </xdr:cNvPr>
        <xdr:cNvSpPr/>
      </xdr:nvSpPr>
      <xdr:spPr>
        <a:xfrm>
          <a:off x="7389586" y="27570339"/>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106</xdr:row>
      <xdr:rowOff>29689</xdr:rowOff>
    </xdr:from>
    <xdr:to>
      <xdr:col>2</xdr:col>
      <xdr:colOff>7235427</xdr:colOff>
      <xdr:row>106</xdr:row>
      <xdr:rowOff>293972</xdr:rowOff>
    </xdr:to>
    <xdr:sp macro="[2]!HideFootnotes_Field" textlink="">
      <xdr:nvSpPr>
        <xdr:cNvPr id="154" name="Rectangle 153">
          <a:extLst>
            <a:ext uri="{FF2B5EF4-FFF2-40B4-BE49-F238E27FC236}">
              <a16:creationId xmlns:a16="http://schemas.microsoft.com/office/drawing/2014/main" id="{0752845E-4294-004F-9B17-E38EB93D776D}"/>
            </a:ext>
          </a:extLst>
        </xdr:cNvPr>
        <xdr:cNvSpPr/>
      </xdr:nvSpPr>
      <xdr:spPr>
        <a:xfrm>
          <a:off x="7416801" y="283718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110</xdr:row>
      <xdr:rowOff>29689</xdr:rowOff>
    </xdr:from>
    <xdr:to>
      <xdr:col>2</xdr:col>
      <xdr:colOff>7235427</xdr:colOff>
      <xdr:row>110</xdr:row>
      <xdr:rowOff>293972</xdr:rowOff>
    </xdr:to>
    <xdr:sp macro="[2]!HideFootnotes_Field" textlink="">
      <xdr:nvSpPr>
        <xdr:cNvPr id="155" name="Rectangle 154">
          <a:extLst>
            <a:ext uri="{FF2B5EF4-FFF2-40B4-BE49-F238E27FC236}">
              <a16:creationId xmlns:a16="http://schemas.microsoft.com/office/drawing/2014/main" id="{AE74FF60-4D11-9A49-BFCA-CF269C45AE5B}"/>
            </a:ext>
          </a:extLst>
        </xdr:cNvPr>
        <xdr:cNvSpPr/>
      </xdr:nvSpPr>
      <xdr:spPr>
        <a:xfrm>
          <a:off x="7416801" y="29578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114</xdr:row>
      <xdr:rowOff>748393</xdr:rowOff>
    </xdr:from>
    <xdr:to>
      <xdr:col>2</xdr:col>
      <xdr:colOff>7235427</xdr:colOff>
      <xdr:row>114</xdr:row>
      <xdr:rowOff>1012676</xdr:rowOff>
    </xdr:to>
    <xdr:sp macro="[0]!Field_DisplayFootnotes_54" textlink="">
      <xdr:nvSpPr>
        <xdr:cNvPr id="156" name="Rectangle 155">
          <a:extLst>
            <a:ext uri="{FF2B5EF4-FFF2-40B4-BE49-F238E27FC236}">
              <a16:creationId xmlns:a16="http://schemas.microsoft.com/office/drawing/2014/main" id="{ADA57452-0BA1-E74A-8B17-457F9331F868}"/>
            </a:ext>
          </a:extLst>
        </xdr:cNvPr>
        <xdr:cNvSpPr/>
      </xdr:nvSpPr>
      <xdr:spPr>
        <a:xfrm>
          <a:off x="7416801" y="3168559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115</xdr:row>
      <xdr:rowOff>29688</xdr:rowOff>
    </xdr:from>
    <xdr:to>
      <xdr:col>2</xdr:col>
      <xdr:colOff>7235427</xdr:colOff>
      <xdr:row>115</xdr:row>
      <xdr:rowOff>293971</xdr:rowOff>
    </xdr:to>
    <xdr:sp macro="[2]!HideFootnotes_Field" textlink="">
      <xdr:nvSpPr>
        <xdr:cNvPr id="157" name="Rectangle 156">
          <a:extLst>
            <a:ext uri="{FF2B5EF4-FFF2-40B4-BE49-F238E27FC236}">
              <a16:creationId xmlns:a16="http://schemas.microsoft.com/office/drawing/2014/main" id="{0CBE5575-C471-EE43-A934-411333EBB68A}"/>
            </a:ext>
          </a:extLst>
        </xdr:cNvPr>
        <xdr:cNvSpPr/>
      </xdr:nvSpPr>
      <xdr:spPr>
        <a:xfrm>
          <a:off x="7416801" y="320167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114</xdr:row>
      <xdr:rowOff>748393</xdr:rowOff>
    </xdr:from>
    <xdr:to>
      <xdr:col>2</xdr:col>
      <xdr:colOff>7235427</xdr:colOff>
      <xdr:row>114</xdr:row>
      <xdr:rowOff>1012676</xdr:rowOff>
    </xdr:to>
    <xdr:sp macro="[2]!Field_DisplayFootnotes_5b2" textlink="">
      <xdr:nvSpPr>
        <xdr:cNvPr id="158" name="Rectangle 157">
          <a:extLst>
            <a:ext uri="{FF2B5EF4-FFF2-40B4-BE49-F238E27FC236}">
              <a16:creationId xmlns:a16="http://schemas.microsoft.com/office/drawing/2014/main" id="{FD8660CD-2CA3-E34E-93C6-4AEB9E7BAE9B}"/>
            </a:ext>
          </a:extLst>
        </xdr:cNvPr>
        <xdr:cNvSpPr/>
      </xdr:nvSpPr>
      <xdr:spPr>
        <a:xfrm>
          <a:off x="7416801" y="31685593"/>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5898697</xdr:colOff>
      <xdr:row>105</xdr:row>
      <xdr:rowOff>217714</xdr:rowOff>
    </xdr:from>
    <xdr:to>
      <xdr:col>2</xdr:col>
      <xdr:colOff>7228623</xdr:colOff>
      <xdr:row>105</xdr:row>
      <xdr:rowOff>481997</xdr:rowOff>
    </xdr:to>
    <xdr:sp macro="[2]!Field_DisplayFootnotes_5a" textlink="">
      <xdr:nvSpPr>
        <xdr:cNvPr id="159" name="Rectangle 158">
          <a:extLst>
            <a:ext uri="{FF2B5EF4-FFF2-40B4-BE49-F238E27FC236}">
              <a16:creationId xmlns:a16="http://schemas.microsoft.com/office/drawing/2014/main" id="{C6CA4B87-A775-074B-8ED4-592F45991A22}"/>
            </a:ext>
          </a:extLst>
        </xdr:cNvPr>
        <xdr:cNvSpPr/>
      </xdr:nvSpPr>
      <xdr:spPr>
        <a:xfrm>
          <a:off x="7409997" y="28094214"/>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5885089</xdr:colOff>
      <xdr:row>109</xdr:row>
      <xdr:rowOff>353785</xdr:rowOff>
    </xdr:from>
    <xdr:to>
      <xdr:col>2</xdr:col>
      <xdr:colOff>7215015</xdr:colOff>
      <xdr:row>109</xdr:row>
      <xdr:rowOff>618068</xdr:rowOff>
    </xdr:to>
    <xdr:sp macro="[2]!Field_DisplayFootnotes_5a3" textlink="">
      <xdr:nvSpPr>
        <xdr:cNvPr id="160" name="Rectangle 159">
          <a:extLst>
            <a:ext uri="{FF2B5EF4-FFF2-40B4-BE49-F238E27FC236}">
              <a16:creationId xmlns:a16="http://schemas.microsoft.com/office/drawing/2014/main" id="{985B0388-248A-7C48-B38B-D48534FCBF5B}"/>
            </a:ext>
          </a:extLst>
        </xdr:cNvPr>
        <xdr:cNvSpPr/>
      </xdr:nvSpPr>
      <xdr:spPr>
        <a:xfrm>
          <a:off x="7396389" y="29284385"/>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159</xdr:row>
      <xdr:rowOff>29688</xdr:rowOff>
    </xdr:from>
    <xdr:to>
      <xdr:col>2</xdr:col>
      <xdr:colOff>7235427</xdr:colOff>
      <xdr:row>159</xdr:row>
      <xdr:rowOff>293971</xdr:rowOff>
    </xdr:to>
    <xdr:sp macro="[2]!HideFootnotes_Field" textlink="">
      <xdr:nvSpPr>
        <xdr:cNvPr id="161" name="Rectangle 160">
          <a:extLst>
            <a:ext uri="{FF2B5EF4-FFF2-40B4-BE49-F238E27FC236}">
              <a16:creationId xmlns:a16="http://schemas.microsoft.com/office/drawing/2014/main" id="{5A9555A3-3735-384F-A8FD-2714A5F9FDE8}"/>
            </a:ext>
          </a:extLst>
        </xdr:cNvPr>
        <xdr:cNvSpPr/>
      </xdr:nvSpPr>
      <xdr:spPr>
        <a:xfrm>
          <a:off x="7416801" y="52362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158</xdr:row>
      <xdr:rowOff>226786</xdr:rowOff>
    </xdr:from>
    <xdr:to>
      <xdr:col>2</xdr:col>
      <xdr:colOff>7235427</xdr:colOff>
      <xdr:row>158</xdr:row>
      <xdr:rowOff>491069</xdr:rowOff>
    </xdr:to>
    <xdr:sp macro="[2]!Field_DisplayFootnotes_672" textlink="">
      <xdr:nvSpPr>
        <xdr:cNvPr id="162" name="Rectangle 161">
          <a:extLst>
            <a:ext uri="{FF2B5EF4-FFF2-40B4-BE49-F238E27FC236}">
              <a16:creationId xmlns:a16="http://schemas.microsoft.com/office/drawing/2014/main" id="{8117CC90-1C9D-6345-AE4D-ECFCF0CC48C7}"/>
            </a:ext>
          </a:extLst>
        </xdr:cNvPr>
        <xdr:cNvSpPr/>
      </xdr:nvSpPr>
      <xdr:spPr>
        <a:xfrm>
          <a:off x="7416801" y="52030086"/>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5898698</xdr:colOff>
      <xdr:row>179</xdr:row>
      <xdr:rowOff>415018</xdr:rowOff>
    </xdr:from>
    <xdr:to>
      <xdr:col>2</xdr:col>
      <xdr:colOff>7228624</xdr:colOff>
      <xdr:row>179</xdr:row>
      <xdr:rowOff>679301</xdr:rowOff>
    </xdr:to>
    <xdr:sp macro="[2]!Field_DisplayFootnotes_7102" textlink="">
      <xdr:nvSpPr>
        <xdr:cNvPr id="163" name="Rectangle 162">
          <a:extLst>
            <a:ext uri="{FF2B5EF4-FFF2-40B4-BE49-F238E27FC236}">
              <a16:creationId xmlns:a16="http://schemas.microsoft.com/office/drawing/2014/main" id="{F8A2D37A-2A16-8A4E-8C14-417009AEACAB}"/>
            </a:ext>
          </a:extLst>
        </xdr:cNvPr>
        <xdr:cNvSpPr/>
      </xdr:nvSpPr>
      <xdr:spPr>
        <a:xfrm>
          <a:off x="7409998" y="59851018"/>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5898696</xdr:colOff>
      <xdr:row>180</xdr:row>
      <xdr:rowOff>34018</xdr:rowOff>
    </xdr:from>
    <xdr:to>
      <xdr:col>2</xdr:col>
      <xdr:colOff>7228622</xdr:colOff>
      <xdr:row>180</xdr:row>
      <xdr:rowOff>298301</xdr:rowOff>
    </xdr:to>
    <xdr:sp macro="[2]!HideFootnotes_Field" textlink="">
      <xdr:nvSpPr>
        <xdr:cNvPr id="164" name="Rectangle 163">
          <a:extLst>
            <a:ext uri="{FF2B5EF4-FFF2-40B4-BE49-F238E27FC236}">
              <a16:creationId xmlns:a16="http://schemas.microsoft.com/office/drawing/2014/main" id="{2A808623-FDF5-1F4B-A147-3ECCFC2E631C}"/>
            </a:ext>
          </a:extLst>
        </xdr:cNvPr>
        <xdr:cNvSpPr/>
      </xdr:nvSpPr>
      <xdr:spPr>
        <a:xfrm>
          <a:off x="7409996" y="601472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5905501</xdr:colOff>
      <xdr:row>157</xdr:row>
      <xdr:rowOff>29688</xdr:rowOff>
    </xdr:from>
    <xdr:to>
      <xdr:col>2</xdr:col>
      <xdr:colOff>7235427</xdr:colOff>
      <xdr:row>157</xdr:row>
      <xdr:rowOff>293971</xdr:rowOff>
    </xdr:to>
    <xdr:sp macro="[2]!HideFootnotes_Field" textlink="">
      <xdr:nvSpPr>
        <xdr:cNvPr id="165" name="Rectangle 164">
          <a:extLst>
            <a:ext uri="{FF2B5EF4-FFF2-40B4-BE49-F238E27FC236}">
              <a16:creationId xmlns:a16="http://schemas.microsoft.com/office/drawing/2014/main" id="{6A8E81FF-7588-894D-BA77-0B349427F400}"/>
            </a:ext>
          </a:extLst>
        </xdr:cNvPr>
        <xdr:cNvSpPr/>
      </xdr:nvSpPr>
      <xdr:spPr>
        <a:xfrm>
          <a:off x="7416801" y="518033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5896428</xdr:colOff>
      <xdr:row>90</xdr:row>
      <xdr:rowOff>247952</xdr:rowOff>
    </xdr:from>
    <xdr:to>
      <xdr:col>2</xdr:col>
      <xdr:colOff>7226354</xdr:colOff>
      <xdr:row>90</xdr:row>
      <xdr:rowOff>512235</xdr:rowOff>
    </xdr:to>
    <xdr:sp macro="[2]!Field_DisplayFootnotes_46" textlink="">
      <xdr:nvSpPr>
        <xdr:cNvPr id="166" name="Rectangle 165">
          <a:extLst>
            <a:ext uri="{FF2B5EF4-FFF2-40B4-BE49-F238E27FC236}">
              <a16:creationId xmlns:a16="http://schemas.microsoft.com/office/drawing/2014/main" id="{8378CFA2-A707-F443-835A-BAB0FC6573B8}"/>
            </a:ext>
          </a:extLst>
        </xdr:cNvPr>
        <xdr:cNvSpPr/>
      </xdr:nvSpPr>
      <xdr:spPr>
        <a:xfrm>
          <a:off x="7407728" y="2341275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91</xdr:row>
      <xdr:rowOff>34636</xdr:rowOff>
    </xdr:from>
    <xdr:to>
      <xdr:col>2</xdr:col>
      <xdr:colOff>7235427</xdr:colOff>
      <xdr:row>91</xdr:row>
      <xdr:rowOff>298919</xdr:rowOff>
    </xdr:to>
    <xdr:sp macro="[2]!HideFootnotes_Field" textlink="">
      <xdr:nvSpPr>
        <xdr:cNvPr id="167" name="Rectangle 166">
          <a:extLst>
            <a:ext uri="{FF2B5EF4-FFF2-40B4-BE49-F238E27FC236}">
              <a16:creationId xmlns:a16="http://schemas.microsoft.com/office/drawing/2014/main" id="{95DCE990-C9EB-2A41-9E5E-923988DE22B4}"/>
            </a:ext>
          </a:extLst>
        </xdr:cNvPr>
        <xdr:cNvSpPr/>
      </xdr:nvSpPr>
      <xdr:spPr>
        <a:xfrm>
          <a:off x="7416801" y="237109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twoCellAnchor>
    <xdr:from>
      <xdr:col>2</xdr:col>
      <xdr:colOff>5902477</xdr:colOff>
      <xdr:row>97</xdr:row>
      <xdr:rowOff>223762</xdr:rowOff>
    </xdr:from>
    <xdr:to>
      <xdr:col>2</xdr:col>
      <xdr:colOff>7232403</xdr:colOff>
      <xdr:row>97</xdr:row>
      <xdr:rowOff>488045</xdr:rowOff>
    </xdr:to>
    <xdr:sp macro="[2]!Field_DisplayFootnotes_410" textlink="">
      <xdr:nvSpPr>
        <xdr:cNvPr id="168" name="Rectangle 167">
          <a:extLst>
            <a:ext uri="{FF2B5EF4-FFF2-40B4-BE49-F238E27FC236}">
              <a16:creationId xmlns:a16="http://schemas.microsoft.com/office/drawing/2014/main" id="{775444D0-60AC-9841-B957-5D378D32559C}"/>
            </a:ext>
          </a:extLst>
        </xdr:cNvPr>
        <xdr:cNvSpPr/>
      </xdr:nvSpPr>
      <xdr:spPr>
        <a:xfrm>
          <a:off x="7413777" y="25763462"/>
          <a:ext cx="1329926" cy="264283"/>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2"/>
              </a:solidFill>
            </a:rPr>
            <a:t>Show</a:t>
          </a:r>
          <a:r>
            <a:rPr lang="en-US" sz="1200" b="1" baseline="0">
              <a:solidFill>
                <a:schemeClr val="accent2"/>
              </a:solidFill>
            </a:rPr>
            <a:t> Footnote(s)</a:t>
          </a:r>
          <a:r>
            <a:rPr lang="en-US" sz="1200" b="1">
              <a:solidFill>
                <a:schemeClr val="accent2"/>
              </a:solidFill>
            </a:rPr>
            <a:t> </a:t>
          </a:r>
        </a:p>
      </xdr:txBody>
    </xdr:sp>
    <xdr:clientData/>
  </xdr:twoCellAnchor>
  <xdr:twoCellAnchor>
    <xdr:from>
      <xdr:col>2</xdr:col>
      <xdr:colOff>5905501</xdr:colOff>
      <xdr:row>98</xdr:row>
      <xdr:rowOff>34636</xdr:rowOff>
    </xdr:from>
    <xdr:to>
      <xdr:col>2</xdr:col>
      <xdr:colOff>7235427</xdr:colOff>
      <xdr:row>98</xdr:row>
      <xdr:rowOff>298919</xdr:rowOff>
    </xdr:to>
    <xdr:sp macro="[2]!HideFootnotes_Field" textlink="">
      <xdr:nvSpPr>
        <xdr:cNvPr id="169" name="Rectangle 168">
          <a:extLst>
            <a:ext uri="{FF2B5EF4-FFF2-40B4-BE49-F238E27FC236}">
              <a16:creationId xmlns:a16="http://schemas.microsoft.com/office/drawing/2014/main" id="{030124A2-4355-CB44-828A-E8CA264C33A0}"/>
            </a:ext>
          </a:extLst>
        </xdr:cNvPr>
        <xdr:cNvSpPr/>
      </xdr:nvSpPr>
      <xdr:spPr>
        <a:xfrm>
          <a:off x="7416801" y="26073100"/>
          <a:ext cx="1329926" cy="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sz="1200" b="1">
              <a:solidFill>
                <a:schemeClr val="accent1"/>
              </a:solidFill>
            </a:rPr>
            <a:t>Hide</a:t>
          </a:r>
          <a:r>
            <a:rPr lang="en-US" sz="1200" b="1" baseline="0">
              <a:solidFill>
                <a:schemeClr val="accent1"/>
              </a:solidFill>
            </a:rPr>
            <a:t> Footnote(s)</a:t>
          </a:r>
          <a:r>
            <a:rPr lang="en-US" sz="1200" b="1">
              <a:solidFill>
                <a:schemeClr val="accent1"/>
              </a:solidFill>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38101</xdr:colOff>
      <xdr:row>4</xdr:row>
      <xdr:rowOff>272143</xdr:rowOff>
    </xdr:from>
    <xdr:to>
      <xdr:col>0</xdr:col>
      <xdr:colOff>220981</xdr:colOff>
      <xdr:row>4</xdr:row>
      <xdr:rowOff>455023</xdr:rowOff>
    </xdr:to>
    <xdr:sp macro="[2]!AddTableRows" textlink="">
      <xdr:nvSpPr>
        <xdr:cNvPr id="2" name="TextBox 1">
          <a:extLst>
            <a:ext uri="{FF2B5EF4-FFF2-40B4-BE49-F238E27FC236}">
              <a16:creationId xmlns:a16="http://schemas.microsoft.com/office/drawing/2014/main" id="{4D756FD9-253F-5345-81FC-02C4B4EA9980}"/>
            </a:ext>
          </a:extLst>
        </xdr:cNvPr>
        <xdr:cNvSpPr txBox="1"/>
      </xdr:nvSpPr>
      <xdr:spPr>
        <a:xfrm>
          <a:off x="38101" y="19485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4</xdr:row>
      <xdr:rowOff>272144</xdr:rowOff>
    </xdr:from>
    <xdr:to>
      <xdr:col>0</xdr:col>
      <xdr:colOff>438694</xdr:colOff>
      <xdr:row>4</xdr:row>
      <xdr:rowOff>455024</xdr:rowOff>
    </xdr:to>
    <xdr:sp macro="[2]!DeleteTableRows" textlink="">
      <xdr:nvSpPr>
        <xdr:cNvPr id="3" name="TextBox 2">
          <a:extLst>
            <a:ext uri="{FF2B5EF4-FFF2-40B4-BE49-F238E27FC236}">
              <a16:creationId xmlns:a16="http://schemas.microsoft.com/office/drawing/2014/main" id="{26AFF7F3-BD1F-A742-AE29-4027E45D86D3}"/>
            </a:ext>
          </a:extLst>
        </xdr:cNvPr>
        <xdr:cNvSpPr txBox="1"/>
      </xdr:nvSpPr>
      <xdr:spPr>
        <a:xfrm>
          <a:off x="255814" y="19485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16</xdr:row>
      <xdr:rowOff>272143</xdr:rowOff>
    </xdr:from>
    <xdr:to>
      <xdr:col>0</xdr:col>
      <xdr:colOff>220981</xdr:colOff>
      <xdr:row>16</xdr:row>
      <xdr:rowOff>455023</xdr:rowOff>
    </xdr:to>
    <xdr:sp macro="[2]!AddTableRows" textlink="">
      <xdr:nvSpPr>
        <xdr:cNvPr id="4" name="TextBox 3">
          <a:extLst>
            <a:ext uri="{FF2B5EF4-FFF2-40B4-BE49-F238E27FC236}">
              <a16:creationId xmlns:a16="http://schemas.microsoft.com/office/drawing/2014/main" id="{6861F9BB-985B-BE4D-BA7C-C8170C5EC40E}"/>
            </a:ext>
          </a:extLst>
        </xdr:cNvPr>
        <xdr:cNvSpPr txBox="1"/>
      </xdr:nvSpPr>
      <xdr:spPr>
        <a:xfrm>
          <a:off x="38101" y="42599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16</xdr:row>
      <xdr:rowOff>272144</xdr:rowOff>
    </xdr:from>
    <xdr:to>
      <xdr:col>0</xdr:col>
      <xdr:colOff>438694</xdr:colOff>
      <xdr:row>16</xdr:row>
      <xdr:rowOff>455024</xdr:rowOff>
    </xdr:to>
    <xdr:sp macro="[2]!DeleteTableRows" textlink="">
      <xdr:nvSpPr>
        <xdr:cNvPr id="5" name="TextBox 4">
          <a:extLst>
            <a:ext uri="{FF2B5EF4-FFF2-40B4-BE49-F238E27FC236}">
              <a16:creationId xmlns:a16="http://schemas.microsoft.com/office/drawing/2014/main" id="{C88FB91B-3E4A-A748-B8B6-17A24FDE1808}"/>
            </a:ext>
          </a:extLst>
        </xdr:cNvPr>
        <xdr:cNvSpPr txBox="1"/>
      </xdr:nvSpPr>
      <xdr:spPr>
        <a:xfrm>
          <a:off x="255814" y="42599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27215</xdr:colOff>
      <xdr:row>29</xdr:row>
      <xdr:rowOff>32657</xdr:rowOff>
    </xdr:from>
    <xdr:to>
      <xdr:col>0</xdr:col>
      <xdr:colOff>210095</xdr:colOff>
      <xdr:row>29</xdr:row>
      <xdr:rowOff>215537</xdr:rowOff>
    </xdr:to>
    <xdr:sp macro="[2]!AddTableRows" textlink="">
      <xdr:nvSpPr>
        <xdr:cNvPr id="2" name="TextBox 1">
          <a:extLst>
            <a:ext uri="{FF2B5EF4-FFF2-40B4-BE49-F238E27FC236}">
              <a16:creationId xmlns:a16="http://schemas.microsoft.com/office/drawing/2014/main" id="{5AAE8F3A-415B-F046-86FE-5299B5BA743F}"/>
            </a:ext>
          </a:extLst>
        </xdr:cNvPr>
        <xdr:cNvSpPr txBox="1"/>
      </xdr:nvSpPr>
      <xdr:spPr>
        <a:xfrm>
          <a:off x="27215" y="6712857"/>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244928</xdr:colOff>
      <xdr:row>29</xdr:row>
      <xdr:rowOff>38101</xdr:rowOff>
    </xdr:from>
    <xdr:to>
      <xdr:col>0</xdr:col>
      <xdr:colOff>427808</xdr:colOff>
      <xdr:row>29</xdr:row>
      <xdr:rowOff>220981</xdr:rowOff>
    </xdr:to>
    <xdr:sp macro="[2]!DeleteTableRows" textlink="">
      <xdr:nvSpPr>
        <xdr:cNvPr id="3" name="TextBox 2">
          <a:extLst>
            <a:ext uri="{FF2B5EF4-FFF2-40B4-BE49-F238E27FC236}">
              <a16:creationId xmlns:a16="http://schemas.microsoft.com/office/drawing/2014/main" id="{586D80E0-9242-214D-ADE7-99A920F519C6}"/>
            </a:ext>
          </a:extLst>
        </xdr:cNvPr>
        <xdr:cNvSpPr txBox="1"/>
      </xdr:nvSpPr>
      <xdr:spPr>
        <a:xfrm>
          <a:off x="244928" y="6718301"/>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32658</xdr:colOff>
      <xdr:row>7</xdr:row>
      <xdr:rowOff>16328</xdr:rowOff>
    </xdr:from>
    <xdr:to>
      <xdr:col>0</xdr:col>
      <xdr:colOff>215538</xdr:colOff>
      <xdr:row>7</xdr:row>
      <xdr:rowOff>199208</xdr:rowOff>
    </xdr:to>
    <xdr:sp macro="[2]!AddTableRows" textlink="">
      <xdr:nvSpPr>
        <xdr:cNvPr id="4" name="TextBox 3">
          <a:extLst>
            <a:ext uri="{FF2B5EF4-FFF2-40B4-BE49-F238E27FC236}">
              <a16:creationId xmlns:a16="http://schemas.microsoft.com/office/drawing/2014/main" id="{9AB737F3-B5FE-294D-BE00-F21D8288381F}"/>
            </a:ext>
          </a:extLst>
        </xdr:cNvPr>
        <xdr:cNvSpPr txBox="1"/>
      </xdr:nvSpPr>
      <xdr:spPr>
        <a:xfrm>
          <a:off x="32658" y="2734128"/>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250371</xdr:colOff>
      <xdr:row>7</xdr:row>
      <xdr:rowOff>21773</xdr:rowOff>
    </xdr:from>
    <xdr:to>
      <xdr:col>0</xdr:col>
      <xdr:colOff>433251</xdr:colOff>
      <xdr:row>7</xdr:row>
      <xdr:rowOff>204653</xdr:rowOff>
    </xdr:to>
    <xdr:sp macro="[2]!DeleteTableRows" textlink="">
      <xdr:nvSpPr>
        <xdr:cNvPr id="5" name="TextBox 4">
          <a:extLst>
            <a:ext uri="{FF2B5EF4-FFF2-40B4-BE49-F238E27FC236}">
              <a16:creationId xmlns:a16="http://schemas.microsoft.com/office/drawing/2014/main" id="{AD540FE7-DD6F-8548-836A-0DD9024E1275}"/>
            </a:ext>
          </a:extLst>
        </xdr:cNvPr>
        <xdr:cNvSpPr txBox="1"/>
      </xdr:nvSpPr>
      <xdr:spPr>
        <a:xfrm>
          <a:off x="250371" y="273957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9</xdr:col>
      <xdr:colOff>1153886</xdr:colOff>
      <xdr:row>3</xdr:row>
      <xdr:rowOff>190500</xdr:rowOff>
    </xdr:from>
    <xdr:to>
      <xdr:col>10</xdr:col>
      <xdr:colOff>68580</xdr:colOff>
      <xdr:row>4</xdr:row>
      <xdr:rowOff>171994</xdr:rowOff>
    </xdr:to>
    <xdr:sp macro="[2]!AddTableColumnss" textlink="">
      <xdr:nvSpPr>
        <xdr:cNvPr id="6" name="TextBox 5">
          <a:extLst>
            <a:ext uri="{FF2B5EF4-FFF2-40B4-BE49-F238E27FC236}">
              <a16:creationId xmlns:a16="http://schemas.microsoft.com/office/drawing/2014/main" id="{99AE695D-9AA4-1946-A2D3-4216B8A9B892}"/>
            </a:ext>
          </a:extLst>
        </xdr:cNvPr>
        <xdr:cNvSpPr txBox="1"/>
      </xdr:nvSpPr>
      <xdr:spPr>
        <a:xfrm>
          <a:off x="12787086" y="1625600"/>
          <a:ext cx="184694" cy="1846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9</xdr:col>
      <xdr:colOff>1126671</xdr:colOff>
      <xdr:row>25</xdr:row>
      <xdr:rowOff>174171</xdr:rowOff>
    </xdr:from>
    <xdr:to>
      <xdr:col>10</xdr:col>
      <xdr:colOff>41365</xdr:colOff>
      <xdr:row>26</xdr:row>
      <xdr:rowOff>155665</xdr:rowOff>
    </xdr:to>
    <xdr:sp macro="[2]!AddTableColumnss" textlink="">
      <xdr:nvSpPr>
        <xdr:cNvPr id="7" name="TextBox 6">
          <a:extLst>
            <a:ext uri="{FF2B5EF4-FFF2-40B4-BE49-F238E27FC236}">
              <a16:creationId xmlns:a16="http://schemas.microsoft.com/office/drawing/2014/main" id="{C910736E-6A25-B743-A72A-E9BA6A709619}"/>
            </a:ext>
          </a:extLst>
        </xdr:cNvPr>
        <xdr:cNvSpPr txBox="1"/>
      </xdr:nvSpPr>
      <xdr:spPr>
        <a:xfrm>
          <a:off x="12759871" y="6003471"/>
          <a:ext cx="184694" cy="1846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38101</xdr:colOff>
      <xdr:row>7</xdr:row>
      <xdr:rowOff>272143</xdr:rowOff>
    </xdr:from>
    <xdr:to>
      <xdr:col>0</xdr:col>
      <xdr:colOff>220981</xdr:colOff>
      <xdr:row>7</xdr:row>
      <xdr:rowOff>455023</xdr:rowOff>
    </xdr:to>
    <xdr:sp macro="[2]!AddTableRows" textlink="">
      <xdr:nvSpPr>
        <xdr:cNvPr id="2" name="TextBox 1">
          <a:extLst>
            <a:ext uri="{FF2B5EF4-FFF2-40B4-BE49-F238E27FC236}">
              <a16:creationId xmlns:a16="http://schemas.microsoft.com/office/drawing/2014/main" id="{C88FC2AE-2C39-734C-8478-9681F3A5232D}"/>
            </a:ext>
          </a:extLst>
        </xdr:cNvPr>
        <xdr:cNvSpPr txBox="1"/>
      </xdr:nvSpPr>
      <xdr:spPr>
        <a:xfrm>
          <a:off x="38101" y="38154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7</xdr:row>
      <xdr:rowOff>272144</xdr:rowOff>
    </xdr:from>
    <xdr:to>
      <xdr:col>0</xdr:col>
      <xdr:colOff>438694</xdr:colOff>
      <xdr:row>7</xdr:row>
      <xdr:rowOff>455024</xdr:rowOff>
    </xdr:to>
    <xdr:sp macro="[2]!DeleteTableRows" textlink="">
      <xdr:nvSpPr>
        <xdr:cNvPr id="3" name="TextBox 2">
          <a:extLst>
            <a:ext uri="{FF2B5EF4-FFF2-40B4-BE49-F238E27FC236}">
              <a16:creationId xmlns:a16="http://schemas.microsoft.com/office/drawing/2014/main" id="{5483E6F6-F579-1B4D-A4FE-6136FAC402C8}"/>
            </a:ext>
          </a:extLst>
        </xdr:cNvPr>
        <xdr:cNvSpPr txBox="1"/>
      </xdr:nvSpPr>
      <xdr:spPr>
        <a:xfrm>
          <a:off x="255814" y="38154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38101</xdr:colOff>
      <xdr:row>9</xdr:row>
      <xdr:rowOff>272143</xdr:rowOff>
    </xdr:from>
    <xdr:to>
      <xdr:col>0</xdr:col>
      <xdr:colOff>220981</xdr:colOff>
      <xdr:row>9</xdr:row>
      <xdr:rowOff>455023</xdr:rowOff>
    </xdr:to>
    <xdr:sp macro="[2]!AddTableRows" textlink="">
      <xdr:nvSpPr>
        <xdr:cNvPr id="2" name="TextBox 1">
          <a:extLst>
            <a:ext uri="{FF2B5EF4-FFF2-40B4-BE49-F238E27FC236}">
              <a16:creationId xmlns:a16="http://schemas.microsoft.com/office/drawing/2014/main" id="{1A755A2A-48D0-A948-8915-C6C2DF12E5A9}"/>
            </a:ext>
          </a:extLst>
        </xdr:cNvPr>
        <xdr:cNvSpPr txBox="1"/>
      </xdr:nvSpPr>
      <xdr:spPr>
        <a:xfrm>
          <a:off x="38101" y="30407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9</xdr:row>
      <xdr:rowOff>272144</xdr:rowOff>
    </xdr:from>
    <xdr:to>
      <xdr:col>0</xdr:col>
      <xdr:colOff>438694</xdr:colOff>
      <xdr:row>9</xdr:row>
      <xdr:rowOff>455024</xdr:rowOff>
    </xdr:to>
    <xdr:sp macro="[2]!DeleteTableRows" textlink="">
      <xdr:nvSpPr>
        <xdr:cNvPr id="3" name="TextBox 2">
          <a:extLst>
            <a:ext uri="{FF2B5EF4-FFF2-40B4-BE49-F238E27FC236}">
              <a16:creationId xmlns:a16="http://schemas.microsoft.com/office/drawing/2014/main" id="{BB953856-0801-D94E-91CB-C4F0BEEAA6BC}"/>
            </a:ext>
          </a:extLst>
        </xdr:cNvPr>
        <xdr:cNvSpPr txBox="1"/>
      </xdr:nvSpPr>
      <xdr:spPr>
        <a:xfrm>
          <a:off x="255814" y="30407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38101</xdr:colOff>
      <xdr:row>11</xdr:row>
      <xdr:rowOff>272143</xdr:rowOff>
    </xdr:from>
    <xdr:to>
      <xdr:col>0</xdr:col>
      <xdr:colOff>220981</xdr:colOff>
      <xdr:row>11</xdr:row>
      <xdr:rowOff>455023</xdr:rowOff>
    </xdr:to>
    <xdr:sp macro="[2]!AddTableRows" textlink="">
      <xdr:nvSpPr>
        <xdr:cNvPr id="2" name="TextBox 1">
          <a:extLst>
            <a:ext uri="{FF2B5EF4-FFF2-40B4-BE49-F238E27FC236}">
              <a16:creationId xmlns:a16="http://schemas.microsoft.com/office/drawing/2014/main" id="{A475DD4B-74C0-234F-8077-1D7832CA1D84}"/>
            </a:ext>
          </a:extLst>
        </xdr:cNvPr>
        <xdr:cNvSpPr txBox="1"/>
      </xdr:nvSpPr>
      <xdr:spPr>
        <a:xfrm>
          <a:off x="38101" y="28883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11</xdr:row>
      <xdr:rowOff>272144</xdr:rowOff>
    </xdr:from>
    <xdr:to>
      <xdr:col>0</xdr:col>
      <xdr:colOff>438694</xdr:colOff>
      <xdr:row>11</xdr:row>
      <xdr:rowOff>455024</xdr:rowOff>
    </xdr:to>
    <xdr:sp macro="[2]!DeleteTableRows" textlink="">
      <xdr:nvSpPr>
        <xdr:cNvPr id="3" name="TextBox 2">
          <a:extLst>
            <a:ext uri="{FF2B5EF4-FFF2-40B4-BE49-F238E27FC236}">
              <a16:creationId xmlns:a16="http://schemas.microsoft.com/office/drawing/2014/main" id="{70BFAD12-DAC6-2A42-8343-7D80012E32EF}"/>
            </a:ext>
          </a:extLst>
        </xdr:cNvPr>
        <xdr:cNvSpPr txBox="1"/>
      </xdr:nvSpPr>
      <xdr:spPr>
        <a:xfrm>
          <a:off x="255814" y="28883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24</xdr:row>
      <xdr:rowOff>272143</xdr:rowOff>
    </xdr:from>
    <xdr:to>
      <xdr:col>0</xdr:col>
      <xdr:colOff>220981</xdr:colOff>
      <xdr:row>24</xdr:row>
      <xdr:rowOff>455023</xdr:rowOff>
    </xdr:to>
    <xdr:sp macro="[2]!AddTableRows" textlink="">
      <xdr:nvSpPr>
        <xdr:cNvPr id="4" name="TextBox 3">
          <a:extLst>
            <a:ext uri="{FF2B5EF4-FFF2-40B4-BE49-F238E27FC236}">
              <a16:creationId xmlns:a16="http://schemas.microsoft.com/office/drawing/2014/main" id="{591CFB6F-D369-EE49-9CAA-0DCFFB3D1261}"/>
            </a:ext>
          </a:extLst>
        </xdr:cNvPr>
        <xdr:cNvSpPr txBox="1"/>
      </xdr:nvSpPr>
      <xdr:spPr>
        <a:xfrm>
          <a:off x="38101" y="53775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24</xdr:row>
      <xdr:rowOff>272144</xdr:rowOff>
    </xdr:from>
    <xdr:to>
      <xdr:col>0</xdr:col>
      <xdr:colOff>438694</xdr:colOff>
      <xdr:row>24</xdr:row>
      <xdr:rowOff>455024</xdr:rowOff>
    </xdr:to>
    <xdr:sp macro="[2]!DeleteTableRows" textlink="">
      <xdr:nvSpPr>
        <xdr:cNvPr id="5" name="TextBox 4">
          <a:extLst>
            <a:ext uri="{FF2B5EF4-FFF2-40B4-BE49-F238E27FC236}">
              <a16:creationId xmlns:a16="http://schemas.microsoft.com/office/drawing/2014/main" id="{248F1AD0-96D8-244A-A860-A03AAD6A22E2}"/>
            </a:ext>
          </a:extLst>
        </xdr:cNvPr>
        <xdr:cNvSpPr txBox="1"/>
      </xdr:nvSpPr>
      <xdr:spPr>
        <a:xfrm>
          <a:off x="255814" y="53775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36</xdr:row>
      <xdr:rowOff>272143</xdr:rowOff>
    </xdr:from>
    <xdr:to>
      <xdr:col>0</xdr:col>
      <xdr:colOff>220981</xdr:colOff>
      <xdr:row>36</xdr:row>
      <xdr:rowOff>455023</xdr:rowOff>
    </xdr:to>
    <xdr:sp macro="[2]!AddTableRows" textlink="">
      <xdr:nvSpPr>
        <xdr:cNvPr id="6" name="TextBox 5">
          <a:extLst>
            <a:ext uri="{FF2B5EF4-FFF2-40B4-BE49-F238E27FC236}">
              <a16:creationId xmlns:a16="http://schemas.microsoft.com/office/drawing/2014/main" id="{076CAA51-1193-1F41-AA76-B5FED14C9E24}"/>
            </a:ext>
          </a:extLst>
        </xdr:cNvPr>
        <xdr:cNvSpPr txBox="1"/>
      </xdr:nvSpPr>
      <xdr:spPr>
        <a:xfrm>
          <a:off x="38101" y="76889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36</xdr:row>
      <xdr:rowOff>272144</xdr:rowOff>
    </xdr:from>
    <xdr:to>
      <xdr:col>0</xdr:col>
      <xdr:colOff>438694</xdr:colOff>
      <xdr:row>36</xdr:row>
      <xdr:rowOff>455024</xdr:rowOff>
    </xdr:to>
    <xdr:sp macro="[2]!DeleteTableRows" textlink="">
      <xdr:nvSpPr>
        <xdr:cNvPr id="7" name="TextBox 6">
          <a:extLst>
            <a:ext uri="{FF2B5EF4-FFF2-40B4-BE49-F238E27FC236}">
              <a16:creationId xmlns:a16="http://schemas.microsoft.com/office/drawing/2014/main" id="{D846487E-4DC9-254D-BC47-0189C48C6442}"/>
            </a:ext>
          </a:extLst>
        </xdr:cNvPr>
        <xdr:cNvSpPr txBox="1"/>
      </xdr:nvSpPr>
      <xdr:spPr>
        <a:xfrm>
          <a:off x="255814" y="76889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38101</xdr:colOff>
      <xdr:row>7</xdr:row>
      <xdr:rowOff>272143</xdr:rowOff>
    </xdr:from>
    <xdr:to>
      <xdr:col>0</xdr:col>
      <xdr:colOff>220981</xdr:colOff>
      <xdr:row>7</xdr:row>
      <xdr:rowOff>455023</xdr:rowOff>
    </xdr:to>
    <xdr:sp macro="[2]!AddTableRows" textlink="">
      <xdr:nvSpPr>
        <xdr:cNvPr id="2" name="TextBox 1">
          <a:extLst>
            <a:ext uri="{FF2B5EF4-FFF2-40B4-BE49-F238E27FC236}">
              <a16:creationId xmlns:a16="http://schemas.microsoft.com/office/drawing/2014/main" id="{A75ECB36-A679-B24E-8FBF-F7A819FB0EA8}"/>
            </a:ext>
          </a:extLst>
        </xdr:cNvPr>
        <xdr:cNvSpPr txBox="1"/>
      </xdr:nvSpPr>
      <xdr:spPr>
        <a:xfrm>
          <a:off x="38101" y="2304143"/>
          <a:ext cx="182880" cy="1066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7</xdr:row>
      <xdr:rowOff>272144</xdr:rowOff>
    </xdr:from>
    <xdr:to>
      <xdr:col>0</xdr:col>
      <xdr:colOff>438694</xdr:colOff>
      <xdr:row>7</xdr:row>
      <xdr:rowOff>455024</xdr:rowOff>
    </xdr:to>
    <xdr:sp macro="[2]!DeleteTableRows" textlink="">
      <xdr:nvSpPr>
        <xdr:cNvPr id="3" name="TextBox 2">
          <a:extLst>
            <a:ext uri="{FF2B5EF4-FFF2-40B4-BE49-F238E27FC236}">
              <a16:creationId xmlns:a16="http://schemas.microsoft.com/office/drawing/2014/main" id="{6EA7877C-9043-894D-A46B-FFEC9D6E4A6C}"/>
            </a:ext>
          </a:extLst>
        </xdr:cNvPr>
        <xdr:cNvSpPr txBox="1"/>
      </xdr:nvSpPr>
      <xdr:spPr>
        <a:xfrm>
          <a:off x="255814" y="2304144"/>
          <a:ext cx="182880" cy="1066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24</xdr:row>
      <xdr:rowOff>48986</xdr:rowOff>
    </xdr:from>
    <xdr:to>
      <xdr:col>0</xdr:col>
      <xdr:colOff>220981</xdr:colOff>
      <xdr:row>24</xdr:row>
      <xdr:rowOff>231866</xdr:rowOff>
    </xdr:to>
    <xdr:sp macro="[2]!AddTableRows" textlink="">
      <xdr:nvSpPr>
        <xdr:cNvPr id="4" name="TextBox 3">
          <a:extLst>
            <a:ext uri="{FF2B5EF4-FFF2-40B4-BE49-F238E27FC236}">
              <a16:creationId xmlns:a16="http://schemas.microsoft.com/office/drawing/2014/main" id="{125E3FEF-D9C5-3F47-8EE5-72CC3F8E1E9D}"/>
            </a:ext>
          </a:extLst>
        </xdr:cNvPr>
        <xdr:cNvSpPr txBox="1"/>
      </xdr:nvSpPr>
      <xdr:spPr>
        <a:xfrm flipV="1">
          <a:off x="38101" y="5763986"/>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255813</xdr:colOff>
      <xdr:row>24</xdr:row>
      <xdr:rowOff>59872</xdr:rowOff>
    </xdr:from>
    <xdr:to>
      <xdr:col>0</xdr:col>
      <xdr:colOff>438693</xdr:colOff>
      <xdr:row>24</xdr:row>
      <xdr:rowOff>242752</xdr:rowOff>
    </xdr:to>
    <xdr:sp macro="[2]!DeleteTableRows" textlink="">
      <xdr:nvSpPr>
        <xdr:cNvPr id="5" name="TextBox 4">
          <a:extLst>
            <a:ext uri="{FF2B5EF4-FFF2-40B4-BE49-F238E27FC236}">
              <a16:creationId xmlns:a16="http://schemas.microsoft.com/office/drawing/2014/main" id="{87119074-EF6F-6942-B098-76817D8B90D3}"/>
            </a:ext>
          </a:extLst>
        </xdr:cNvPr>
        <xdr:cNvSpPr txBox="1"/>
      </xdr:nvSpPr>
      <xdr:spPr>
        <a:xfrm flipV="1">
          <a:off x="255813" y="5774872"/>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38101</xdr:colOff>
      <xdr:row>20</xdr:row>
      <xdr:rowOff>272143</xdr:rowOff>
    </xdr:from>
    <xdr:to>
      <xdr:col>0</xdr:col>
      <xdr:colOff>220981</xdr:colOff>
      <xdr:row>20</xdr:row>
      <xdr:rowOff>455023</xdr:rowOff>
    </xdr:to>
    <xdr:sp macro="[2]!AddTableRows" textlink="">
      <xdr:nvSpPr>
        <xdr:cNvPr id="2" name="TextBox 1">
          <a:extLst>
            <a:ext uri="{FF2B5EF4-FFF2-40B4-BE49-F238E27FC236}">
              <a16:creationId xmlns:a16="http://schemas.microsoft.com/office/drawing/2014/main" id="{8FE32637-27D9-F34A-AD54-CD0A1F695528}"/>
            </a:ext>
          </a:extLst>
        </xdr:cNvPr>
        <xdr:cNvSpPr txBox="1"/>
      </xdr:nvSpPr>
      <xdr:spPr>
        <a:xfrm>
          <a:off x="38101" y="46155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20</xdr:row>
      <xdr:rowOff>272144</xdr:rowOff>
    </xdr:from>
    <xdr:to>
      <xdr:col>0</xdr:col>
      <xdr:colOff>438694</xdr:colOff>
      <xdr:row>20</xdr:row>
      <xdr:rowOff>455024</xdr:rowOff>
    </xdr:to>
    <xdr:sp macro="[2]!DeleteTableRows" textlink="">
      <xdr:nvSpPr>
        <xdr:cNvPr id="3" name="TextBox 2">
          <a:extLst>
            <a:ext uri="{FF2B5EF4-FFF2-40B4-BE49-F238E27FC236}">
              <a16:creationId xmlns:a16="http://schemas.microsoft.com/office/drawing/2014/main" id="{1962F24E-76CB-4C48-9714-9FE1947FDF31}"/>
            </a:ext>
          </a:extLst>
        </xdr:cNvPr>
        <xdr:cNvSpPr txBox="1"/>
      </xdr:nvSpPr>
      <xdr:spPr>
        <a:xfrm>
          <a:off x="255814" y="46155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7</xdr:row>
      <xdr:rowOff>272143</xdr:rowOff>
    </xdr:from>
    <xdr:to>
      <xdr:col>0</xdr:col>
      <xdr:colOff>220981</xdr:colOff>
      <xdr:row>7</xdr:row>
      <xdr:rowOff>455023</xdr:rowOff>
    </xdr:to>
    <xdr:sp macro="[2]!AddTableRows" textlink="">
      <xdr:nvSpPr>
        <xdr:cNvPr id="4" name="TextBox 3">
          <a:extLst>
            <a:ext uri="{FF2B5EF4-FFF2-40B4-BE49-F238E27FC236}">
              <a16:creationId xmlns:a16="http://schemas.microsoft.com/office/drawing/2014/main" id="{1FF612C7-A438-F845-94E6-EAC7BCA56874}"/>
            </a:ext>
          </a:extLst>
        </xdr:cNvPr>
        <xdr:cNvSpPr txBox="1"/>
      </xdr:nvSpPr>
      <xdr:spPr>
        <a:xfrm>
          <a:off x="38101" y="2139043"/>
          <a:ext cx="182880" cy="1447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7</xdr:row>
      <xdr:rowOff>272144</xdr:rowOff>
    </xdr:from>
    <xdr:to>
      <xdr:col>0</xdr:col>
      <xdr:colOff>438694</xdr:colOff>
      <xdr:row>7</xdr:row>
      <xdr:rowOff>455024</xdr:rowOff>
    </xdr:to>
    <xdr:sp macro="[2]!DeleteTableRows" textlink="">
      <xdr:nvSpPr>
        <xdr:cNvPr id="5" name="TextBox 4">
          <a:extLst>
            <a:ext uri="{FF2B5EF4-FFF2-40B4-BE49-F238E27FC236}">
              <a16:creationId xmlns:a16="http://schemas.microsoft.com/office/drawing/2014/main" id="{A77AAC67-FAFE-7B4D-9917-E5DB7477CC52}"/>
            </a:ext>
          </a:extLst>
        </xdr:cNvPr>
        <xdr:cNvSpPr txBox="1"/>
      </xdr:nvSpPr>
      <xdr:spPr>
        <a:xfrm>
          <a:off x="255814" y="2139044"/>
          <a:ext cx="182880" cy="1447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47625</xdr:rowOff>
    </xdr:from>
    <xdr:to>
      <xdr:col>5</xdr:col>
      <xdr:colOff>362223</xdr:colOff>
      <xdr:row>3</xdr:row>
      <xdr:rowOff>184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28600"/>
          <a:ext cx="1952898" cy="131463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32659</xdr:colOff>
      <xdr:row>44</xdr:row>
      <xdr:rowOff>27214</xdr:rowOff>
    </xdr:from>
    <xdr:to>
      <xdr:col>0</xdr:col>
      <xdr:colOff>215539</xdr:colOff>
      <xdr:row>44</xdr:row>
      <xdr:rowOff>199208</xdr:rowOff>
    </xdr:to>
    <xdr:sp macro="[2]!AddTableRows" textlink="">
      <xdr:nvSpPr>
        <xdr:cNvPr id="2" name="TextBox 1">
          <a:extLst>
            <a:ext uri="{FF2B5EF4-FFF2-40B4-BE49-F238E27FC236}">
              <a16:creationId xmlns:a16="http://schemas.microsoft.com/office/drawing/2014/main" id="{893122DA-CC2A-DE47-AC3E-A3050A607C4B}"/>
            </a:ext>
          </a:extLst>
        </xdr:cNvPr>
        <xdr:cNvSpPr txBox="1"/>
      </xdr:nvSpPr>
      <xdr:spPr>
        <a:xfrm>
          <a:off x="32659" y="8802914"/>
          <a:ext cx="1828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261257</xdr:colOff>
      <xdr:row>44</xdr:row>
      <xdr:rowOff>21772</xdr:rowOff>
    </xdr:from>
    <xdr:to>
      <xdr:col>0</xdr:col>
      <xdr:colOff>444137</xdr:colOff>
      <xdr:row>44</xdr:row>
      <xdr:rowOff>193766</xdr:rowOff>
    </xdr:to>
    <xdr:sp macro="[2]!DeleteTableRows" textlink="">
      <xdr:nvSpPr>
        <xdr:cNvPr id="3" name="TextBox 2">
          <a:extLst>
            <a:ext uri="{FF2B5EF4-FFF2-40B4-BE49-F238E27FC236}">
              <a16:creationId xmlns:a16="http://schemas.microsoft.com/office/drawing/2014/main" id="{770FA60F-8175-C54C-89DF-BBFF286A5916}"/>
            </a:ext>
          </a:extLst>
        </xdr:cNvPr>
        <xdr:cNvSpPr txBox="1"/>
      </xdr:nvSpPr>
      <xdr:spPr>
        <a:xfrm>
          <a:off x="261257" y="8797472"/>
          <a:ext cx="1828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32659</xdr:colOff>
      <xdr:row>16</xdr:row>
      <xdr:rowOff>27214</xdr:rowOff>
    </xdr:from>
    <xdr:to>
      <xdr:col>0</xdr:col>
      <xdr:colOff>215539</xdr:colOff>
      <xdr:row>16</xdr:row>
      <xdr:rowOff>199208</xdr:rowOff>
    </xdr:to>
    <xdr:sp macro="[2]!AddTableRows" textlink="">
      <xdr:nvSpPr>
        <xdr:cNvPr id="4" name="TextBox 3">
          <a:extLst>
            <a:ext uri="{FF2B5EF4-FFF2-40B4-BE49-F238E27FC236}">
              <a16:creationId xmlns:a16="http://schemas.microsoft.com/office/drawing/2014/main" id="{5198CD00-9F27-C447-9660-8439F4AC1732}"/>
            </a:ext>
          </a:extLst>
        </xdr:cNvPr>
        <xdr:cNvSpPr txBox="1"/>
      </xdr:nvSpPr>
      <xdr:spPr>
        <a:xfrm>
          <a:off x="32659" y="3862614"/>
          <a:ext cx="1828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261257</xdr:colOff>
      <xdr:row>16</xdr:row>
      <xdr:rowOff>21772</xdr:rowOff>
    </xdr:from>
    <xdr:to>
      <xdr:col>0</xdr:col>
      <xdr:colOff>444137</xdr:colOff>
      <xdr:row>16</xdr:row>
      <xdr:rowOff>193766</xdr:rowOff>
    </xdr:to>
    <xdr:sp macro="[2]!DeleteTableRows" textlink="">
      <xdr:nvSpPr>
        <xdr:cNvPr id="5" name="TextBox 4">
          <a:extLst>
            <a:ext uri="{FF2B5EF4-FFF2-40B4-BE49-F238E27FC236}">
              <a16:creationId xmlns:a16="http://schemas.microsoft.com/office/drawing/2014/main" id="{86F63A76-327C-294A-AC91-CBBA55637F44}"/>
            </a:ext>
          </a:extLst>
        </xdr:cNvPr>
        <xdr:cNvSpPr txBox="1"/>
      </xdr:nvSpPr>
      <xdr:spPr>
        <a:xfrm>
          <a:off x="261257" y="3857172"/>
          <a:ext cx="1828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1404259</xdr:colOff>
      <xdr:row>74</xdr:row>
      <xdr:rowOff>21771</xdr:rowOff>
    </xdr:from>
    <xdr:to>
      <xdr:col>5</xdr:col>
      <xdr:colOff>1587139</xdr:colOff>
      <xdr:row>74</xdr:row>
      <xdr:rowOff>193765</xdr:rowOff>
    </xdr:to>
    <xdr:sp macro="[2]!AddTableRows" textlink="">
      <xdr:nvSpPr>
        <xdr:cNvPr id="6" name="TextBox 5">
          <a:extLst>
            <a:ext uri="{FF2B5EF4-FFF2-40B4-BE49-F238E27FC236}">
              <a16:creationId xmlns:a16="http://schemas.microsoft.com/office/drawing/2014/main" id="{5CB4A60B-7923-3C40-BB58-3EB781496052}"/>
            </a:ext>
          </a:extLst>
        </xdr:cNvPr>
        <xdr:cNvSpPr txBox="1"/>
      </xdr:nvSpPr>
      <xdr:spPr>
        <a:xfrm>
          <a:off x="6281059" y="14779171"/>
          <a:ext cx="50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1404259</xdr:colOff>
      <xdr:row>75</xdr:row>
      <xdr:rowOff>21771</xdr:rowOff>
    </xdr:from>
    <xdr:to>
      <xdr:col>5</xdr:col>
      <xdr:colOff>1587139</xdr:colOff>
      <xdr:row>75</xdr:row>
      <xdr:rowOff>193765</xdr:rowOff>
    </xdr:to>
    <xdr:sp macro="[2]!AddTableRows" textlink="">
      <xdr:nvSpPr>
        <xdr:cNvPr id="7" name="TextBox 6">
          <a:extLst>
            <a:ext uri="{FF2B5EF4-FFF2-40B4-BE49-F238E27FC236}">
              <a16:creationId xmlns:a16="http://schemas.microsoft.com/office/drawing/2014/main" id="{AA1EFA1A-2AC5-1E40-B93F-D8EBDEE29AC5}"/>
            </a:ext>
          </a:extLst>
        </xdr:cNvPr>
        <xdr:cNvSpPr txBox="1"/>
      </xdr:nvSpPr>
      <xdr:spPr>
        <a:xfrm>
          <a:off x="6281059" y="14973300"/>
          <a:ext cx="5080" cy="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1404259</xdr:colOff>
      <xdr:row>74</xdr:row>
      <xdr:rowOff>21771</xdr:rowOff>
    </xdr:from>
    <xdr:to>
      <xdr:col>5</xdr:col>
      <xdr:colOff>1587139</xdr:colOff>
      <xdr:row>74</xdr:row>
      <xdr:rowOff>193765</xdr:rowOff>
    </xdr:to>
    <xdr:sp macro="[3]!AddTableRows" textlink="">
      <xdr:nvSpPr>
        <xdr:cNvPr id="8" name="TextBox 7">
          <a:extLst>
            <a:ext uri="{FF2B5EF4-FFF2-40B4-BE49-F238E27FC236}">
              <a16:creationId xmlns:a16="http://schemas.microsoft.com/office/drawing/2014/main" id="{6EE9BC1F-4606-E049-9D92-E4208751FF2D}"/>
            </a:ext>
          </a:extLst>
        </xdr:cNvPr>
        <xdr:cNvSpPr txBox="1"/>
      </xdr:nvSpPr>
      <xdr:spPr>
        <a:xfrm>
          <a:off x="6281059" y="14779171"/>
          <a:ext cx="50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1627414</xdr:colOff>
      <xdr:row>74</xdr:row>
      <xdr:rowOff>21771</xdr:rowOff>
    </xdr:from>
    <xdr:to>
      <xdr:col>5</xdr:col>
      <xdr:colOff>1810294</xdr:colOff>
      <xdr:row>74</xdr:row>
      <xdr:rowOff>193765</xdr:rowOff>
    </xdr:to>
    <xdr:sp macro="[3]!DeleteTableRows" textlink="">
      <xdr:nvSpPr>
        <xdr:cNvPr id="9" name="TextBox 8">
          <a:extLst>
            <a:ext uri="{FF2B5EF4-FFF2-40B4-BE49-F238E27FC236}">
              <a16:creationId xmlns:a16="http://schemas.microsoft.com/office/drawing/2014/main" id="{2F243F26-9D90-164B-8824-37790E5264F5}"/>
            </a:ext>
          </a:extLst>
        </xdr:cNvPr>
        <xdr:cNvSpPr txBox="1"/>
      </xdr:nvSpPr>
      <xdr:spPr>
        <a:xfrm>
          <a:off x="6288314" y="14779171"/>
          <a:ext cx="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1404259</xdr:colOff>
      <xdr:row>74</xdr:row>
      <xdr:rowOff>21771</xdr:rowOff>
    </xdr:from>
    <xdr:to>
      <xdr:col>5</xdr:col>
      <xdr:colOff>1587139</xdr:colOff>
      <xdr:row>74</xdr:row>
      <xdr:rowOff>193765</xdr:rowOff>
    </xdr:to>
    <xdr:sp macro="[3]!AddTableRows" textlink="">
      <xdr:nvSpPr>
        <xdr:cNvPr id="10" name="TextBox 9">
          <a:extLst>
            <a:ext uri="{FF2B5EF4-FFF2-40B4-BE49-F238E27FC236}">
              <a16:creationId xmlns:a16="http://schemas.microsoft.com/office/drawing/2014/main" id="{502A56CD-0108-9447-8B50-58A60A29F101}"/>
            </a:ext>
          </a:extLst>
        </xdr:cNvPr>
        <xdr:cNvSpPr txBox="1"/>
      </xdr:nvSpPr>
      <xdr:spPr>
        <a:xfrm>
          <a:off x="6281059" y="14779171"/>
          <a:ext cx="508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1627414</xdr:colOff>
      <xdr:row>74</xdr:row>
      <xdr:rowOff>21771</xdr:rowOff>
    </xdr:from>
    <xdr:to>
      <xdr:col>5</xdr:col>
      <xdr:colOff>1810294</xdr:colOff>
      <xdr:row>74</xdr:row>
      <xdr:rowOff>193765</xdr:rowOff>
    </xdr:to>
    <xdr:sp macro="[3]!DeleteTableRows" textlink="">
      <xdr:nvSpPr>
        <xdr:cNvPr id="11" name="TextBox 10">
          <a:extLst>
            <a:ext uri="{FF2B5EF4-FFF2-40B4-BE49-F238E27FC236}">
              <a16:creationId xmlns:a16="http://schemas.microsoft.com/office/drawing/2014/main" id="{6F965833-9677-2743-9FC7-51113AB9A510}"/>
            </a:ext>
          </a:extLst>
        </xdr:cNvPr>
        <xdr:cNvSpPr txBox="1"/>
      </xdr:nvSpPr>
      <xdr:spPr>
        <a:xfrm>
          <a:off x="6288314" y="14779171"/>
          <a:ext cx="0" cy="17199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676277</xdr:colOff>
      <xdr:row>74</xdr:row>
      <xdr:rowOff>19050</xdr:rowOff>
    </xdr:from>
    <xdr:to>
      <xdr:col>5</xdr:col>
      <xdr:colOff>864600</xdr:colOff>
      <xdr:row>74</xdr:row>
      <xdr:rowOff>188322</xdr:rowOff>
    </xdr:to>
    <xdr:sp macro="[2]!AddTableRows" textlink="">
      <xdr:nvSpPr>
        <xdr:cNvPr id="12" name="TextBox 11">
          <a:extLst>
            <a:ext uri="{FF2B5EF4-FFF2-40B4-BE49-F238E27FC236}">
              <a16:creationId xmlns:a16="http://schemas.microsoft.com/office/drawing/2014/main" id="{B064D616-7AFB-FB46-B6BF-0E4BA41B7953}"/>
            </a:ext>
          </a:extLst>
        </xdr:cNvPr>
        <xdr:cNvSpPr txBox="1"/>
      </xdr:nvSpPr>
      <xdr:spPr>
        <a:xfrm>
          <a:off x="5629277" y="14776450"/>
          <a:ext cx="188323" cy="169272"/>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5</xdr:col>
      <xdr:colOff>906236</xdr:colOff>
      <xdr:row>74</xdr:row>
      <xdr:rowOff>17690</xdr:rowOff>
    </xdr:from>
    <xdr:to>
      <xdr:col>5</xdr:col>
      <xdr:colOff>1094559</xdr:colOff>
      <xdr:row>74</xdr:row>
      <xdr:rowOff>197848</xdr:rowOff>
    </xdr:to>
    <xdr:sp macro="[2]!DeleteTableRows" textlink="">
      <xdr:nvSpPr>
        <xdr:cNvPr id="13" name="TextBox 12">
          <a:extLst>
            <a:ext uri="{FF2B5EF4-FFF2-40B4-BE49-F238E27FC236}">
              <a16:creationId xmlns:a16="http://schemas.microsoft.com/office/drawing/2014/main" id="{3343277B-7B03-FF49-B34E-A9960EE34CE5}"/>
            </a:ext>
          </a:extLst>
        </xdr:cNvPr>
        <xdr:cNvSpPr txBox="1"/>
      </xdr:nvSpPr>
      <xdr:spPr>
        <a:xfrm>
          <a:off x="5859236" y="14775090"/>
          <a:ext cx="188323" cy="180158"/>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38101</xdr:colOff>
      <xdr:row>7</xdr:row>
      <xdr:rowOff>272143</xdr:rowOff>
    </xdr:from>
    <xdr:to>
      <xdr:col>0</xdr:col>
      <xdr:colOff>220981</xdr:colOff>
      <xdr:row>7</xdr:row>
      <xdr:rowOff>455023</xdr:rowOff>
    </xdr:to>
    <xdr:sp macro="[2]!AddTableRows" textlink="">
      <xdr:nvSpPr>
        <xdr:cNvPr id="2" name="TextBox 1">
          <a:extLst>
            <a:ext uri="{FF2B5EF4-FFF2-40B4-BE49-F238E27FC236}">
              <a16:creationId xmlns:a16="http://schemas.microsoft.com/office/drawing/2014/main" id="{AFE2D654-AB9F-A14F-AAF7-12ED4A0259C0}"/>
            </a:ext>
          </a:extLst>
        </xdr:cNvPr>
        <xdr:cNvSpPr txBox="1"/>
      </xdr:nvSpPr>
      <xdr:spPr>
        <a:xfrm>
          <a:off x="38101" y="2481943"/>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255814</xdr:colOff>
      <xdr:row>7</xdr:row>
      <xdr:rowOff>272144</xdr:rowOff>
    </xdr:from>
    <xdr:to>
      <xdr:col>0</xdr:col>
      <xdr:colOff>438694</xdr:colOff>
      <xdr:row>7</xdr:row>
      <xdr:rowOff>455024</xdr:rowOff>
    </xdr:to>
    <xdr:sp macro="[2]!DeleteTableRows" textlink="">
      <xdr:nvSpPr>
        <xdr:cNvPr id="3" name="TextBox 2">
          <a:extLst>
            <a:ext uri="{FF2B5EF4-FFF2-40B4-BE49-F238E27FC236}">
              <a16:creationId xmlns:a16="http://schemas.microsoft.com/office/drawing/2014/main" id="{177D90FF-80FD-6148-9DD8-7D5075173340}"/>
            </a:ext>
          </a:extLst>
        </xdr:cNvPr>
        <xdr:cNvSpPr txBox="1"/>
      </xdr:nvSpPr>
      <xdr:spPr>
        <a:xfrm>
          <a:off x="255814" y="2481944"/>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38101</xdr:colOff>
      <xdr:row>17</xdr:row>
      <xdr:rowOff>87086</xdr:rowOff>
    </xdr:from>
    <xdr:to>
      <xdr:col>0</xdr:col>
      <xdr:colOff>220981</xdr:colOff>
      <xdr:row>17</xdr:row>
      <xdr:rowOff>269966</xdr:rowOff>
    </xdr:to>
    <xdr:sp macro="[2]!AddTableRows" textlink="">
      <xdr:nvSpPr>
        <xdr:cNvPr id="4" name="TextBox 3">
          <a:extLst>
            <a:ext uri="{FF2B5EF4-FFF2-40B4-BE49-F238E27FC236}">
              <a16:creationId xmlns:a16="http://schemas.microsoft.com/office/drawing/2014/main" id="{2FDCDC02-723F-944E-B4B3-E20904042548}"/>
            </a:ext>
          </a:extLst>
        </xdr:cNvPr>
        <xdr:cNvSpPr txBox="1"/>
      </xdr:nvSpPr>
      <xdr:spPr>
        <a:xfrm>
          <a:off x="38101" y="4951186"/>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twoCellAnchor>
    <xdr:from>
      <xdr:col>0</xdr:col>
      <xdr:colOff>261257</xdr:colOff>
      <xdr:row>17</xdr:row>
      <xdr:rowOff>87087</xdr:rowOff>
    </xdr:from>
    <xdr:to>
      <xdr:col>0</xdr:col>
      <xdr:colOff>444137</xdr:colOff>
      <xdr:row>17</xdr:row>
      <xdr:rowOff>269967</xdr:rowOff>
    </xdr:to>
    <xdr:sp macro="[2]!DeleteTableRows" textlink="">
      <xdr:nvSpPr>
        <xdr:cNvPr id="5" name="TextBox 4">
          <a:extLst>
            <a:ext uri="{FF2B5EF4-FFF2-40B4-BE49-F238E27FC236}">
              <a16:creationId xmlns:a16="http://schemas.microsoft.com/office/drawing/2014/main" id="{0AA01F8D-F19C-C547-93B8-758D55F8219D}"/>
            </a:ext>
          </a:extLst>
        </xdr:cNvPr>
        <xdr:cNvSpPr txBox="1"/>
      </xdr:nvSpPr>
      <xdr:spPr>
        <a:xfrm>
          <a:off x="261257" y="4951187"/>
          <a:ext cx="182880" cy="1828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238398</xdr:colOff>
      <xdr:row>1</xdr:row>
      <xdr:rowOff>1314634</xdr:rowOff>
    </xdr:to>
    <xdr:pic>
      <xdr:nvPicPr>
        <xdr:cNvPr id="2" name="Picture 1">
          <a:extLst>
            <a:ext uri="{FF2B5EF4-FFF2-40B4-BE49-F238E27FC236}">
              <a16:creationId xmlns:a16="http://schemas.microsoft.com/office/drawing/2014/main" id="{06B723DE-0BB3-A345-B2EA-9B3ABDEBFC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00" y="177800"/>
          <a:ext cx="1952898" cy="13146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6</xdr:col>
      <xdr:colOff>295548</xdr:colOff>
      <xdr:row>2</xdr:row>
      <xdr:rowOff>47809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1952898" cy="13146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7</xdr:col>
      <xdr:colOff>66948</xdr:colOff>
      <xdr:row>2</xdr:row>
      <xdr:rowOff>47809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90500"/>
          <a:ext cx="1952898" cy="13146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238125</xdr:colOff>
      <xdr:row>1</xdr:row>
      <xdr:rowOff>66675</xdr:rowOff>
    </xdr:from>
    <xdr:to>
      <xdr:col>4</xdr:col>
      <xdr:colOff>19323</xdr:colOff>
      <xdr:row>2</xdr:row>
      <xdr:rowOff>1181284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247650"/>
          <a:ext cx="1952898" cy="13146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3</xdr:col>
      <xdr:colOff>590823</xdr:colOff>
      <xdr:row>2</xdr:row>
      <xdr:rowOff>1162234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8125"/>
          <a:ext cx="1952898" cy="13146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5</xdr:row>
      <xdr:rowOff>175259</xdr:rowOff>
    </xdr:from>
    <xdr:to>
      <xdr:col>31</xdr:col>
      <xdr:colOff>28575</xdr:colOff>
      <xdr:row>44</xdr:row>
      <xdr:rowOff>115270</xdr:rowOff>
    </xdr:to>
    <xdr:pic>
      <xdr:nvPicPr>
        <xdr:cNvPr id="2" name="Picture 1" descr="Screen Clipping">
          <a:extLst>
            <a:ext uri="{FF2B5EF4-FFF2-40B4-BE49-F238E27FC236}">
              <a16:creationId xmlns:a16="http://schemas.microsoft.com/office/drawing/2014/main" id="{36048407-C6CC-4BFD-BA47-A84D0DD033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308734"/>
          <a:ext cx="7467600" cy="7483811"/>
        </a:xfrm>
        <a:prstGeom prst="rect">
          <a:avLst/>
        </a:prstGeom>
      </xdr:spPr>
    </xdr:pic>
    <xdr:clientData/>
  </xdr:twoCellAnchor>
  <xdr:twoCellAnchor editAs="oneCell">
    <xdr:from>
      <xdr:col>1</xdr:col>
      <xdr:colOff>180976</xdr:colOff>
      <xdr:row>42</xdr:row>
      <xdr:rowOff>86241</xdr:rowOff>
    </xdr:from>
    <xdr:to>
      <xdr:col>29</xdr:col>
      <xdr:colOff>219076</xdr:colOff>
      <xdr:row>53</xdr:row>
      <xdr:rowOff>133555</xdr:rowOff>
    </xdr:to>
    <xdr:pic>
      <xdr:nvPicPr>
        <xdr:cNvPr id="3" name="Picture 2" descr="Screen Clipping">
          <a:extLst>
            <a:ext uri="{FF2B5EF4-FFF2-40B4-BE49-F238E27FC236}">
              <a16:creationId xmlns:a16="http://schemas.microsoft.com/office/drawing/2014/main" id="{704D9ED0-E187-4326-9145-BE09492E69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1" y="8344416"/>
          <a:ext cx="7067550" cy="20570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180976</xdr:colOff>
      <xdr:row>42</xdr:row>
      <xdr:rowOff>86241</xdr:rowOff>
    </xdr:from>
    <xdr:to>
      <xdr:col>29</xdr:col>
      <xdr:colOff>219076</xdr:colOff>
      <xdr:row>53</xdr:row>
      <xdr:rowOff>133555</xdr:rowOff>
    </xdr:to>
    <xdr:pic>
      <xdr:nvPicPr>
        <xdr:cNvPr id="4" name="Picture 3" descr="Screen Clipping">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1" y="7811016"/>
          <a:ext cx="7067550" cy="20570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swright1/Documents/2019/2019%20PHIUS/PHIUS+%20Multifamily%20Quality%20Assurance%20Workbook%20v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swright1/Documents/2020/2020%20PHIUS/2020-11%20phiusnonresidentialqaworkbook/ENERGY_STAR_MFNC_Multifamily_Workbook_V1Rev01.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7056/Desktop/Arizona%20July%202020/ENERGY_STAR_MFNC_Multifamily_Workbook_V1Rev01.02_Examp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Rater Design Checklist"/>
      <sheetName val="1b. Rater Field Checklist"/>
      <sheetName val="Project Information"/>
      <sheetName val="ENERGY_STAR_MFNC_Multifamily_Wo"/>
    </sheetNames>
    <definedNames>
      <definedName name="AddTableColumnss"/>
      <definedName name="AddTableRows"/>
      <definedName name="ASHRAE_Path"/>
      <definedName name="CLEAR_AllFields_Fields"/>
      <definedName name="CLEAR_Path"/>
      <definedName name="DeleteTableRows"/>
      <definedName name="Design_DisplayFootnotes_211"/>
      <definedName name="Design_DisplayFootnotes_212"/>
      <definedName name="Design_DisplayFootnotes_22"/>
      <definedName name="Design_DisplayFootnotes_221"/>
      <definedName name="Design_DisplayFootnotes_222"/>
      <definedName name="Design_DisplayFootnotes_311"/>
      <definedName name="Design_DisplayFootnotes_312"/>
      <definedName name="Design_DisplayFootnotes_32"/>
      <definedName name="Design_DisplayFootnotes_321"/>
      <definedName name="Design_DisplayFootnotes_322"/>
      <definedName name="Design_DisplayFootnotes_4a"/>
      <definedName name="Design_DisplayFootnotes_4a3"/>
      <definedName name="Design_DisplayFootnotes_4a4"/>
      <definedName name="Design_DisplayFootnotes_4b21"/>
      <definedName name="Design_DisplayFootnotes_4b22"/>
      <definedName name="Design_DisplayFootnotes_4b23"/>
      <definedName name="Design_DisplayFootnotes_4b24"/>
      <definedName name="Design_DisplayFootnotes_4b25"/>
      <definedName name="Design_DisplayFootnotes_4b26"/>
      <definedName name="Design_DisplayFootnotes_4b29"/>
      <definedName name="Design_DisplayFootnotes_515"/>
      <definedName name="Design_DisplayFootnotes_516"/>
      <definedName name="Design_DisplayFootnotes_517"/>
      <definedName name="Design_DisplayFootnotes_519"/>
      <definedName name="Design_DisplayFootnotes_521"/>
      <definedName name="Design_DisplayFootnotes_53"/>
      <definedName name="Design_DisplayFootnotes_563"/>
      <definedName name="Design_DisplayFootnotes_Checklist_1_3"/>
      <definedName name="ERI_Path"/>
      <definedName name="FIELD_AllFields_Fields"/>
      <definedName name="FIELD_ASHRAE_Path"/>
      <definedName name="FIELD_CLEAR_AllFields_Fields"/>
      <definedName name="FIELD_CLEAR_Path"/>
      <definedName name="Field_DisplayFootnotes_10_1"/>
      <definedName name="Field_DisplayFootnotes_10_2"/>
      <definedName name="Field_DisplayFootnotes_10_3"/>
      <definedName name="Field_DisplayFootnotes_11_1"/>
      <definedName name="Field_DisplayFootnotes_11_2"/>
      <definedName name="Field_DisplayFootnotes_11_4"/>
      <definedName name="Field_DisplayFootnotes_11_5"/>
      <definedName name="Field_DisplayFootnotes_12_1"/>
      <definedName name="Field_DisplayFootnotes_12_11"/>
      <definedName name="Field_DisplayFootnotes_12_12"/>
      <definedName name="Field_DisplayFootnotes_12_2"/>
      <definedName name="Field_DisplayFootnotes_12_21"/>
      <definedName name="Field_DisplayFootnotes_12_22"/>
      <definedName name="Field_DisplayFootnotes_12_5"/>
      <definedName name="Field_DisplayFootnotes_12_6"/>
      <definedName name="Field_DisplayFootnotes_12_7"/>
      <definedName name="Field_DisplayFootnotes_13"/>
      <definedName name="Field_DisplayFootnotes_13_1"/>
      <definedName name="Field_DisplayFootnotes_13_2"/>
      <definedName name="Field_DisplayFootnotes_14"/>
      <definedName name="Field_DisplayFootnotes_14_1"/>
      <definedName name="Field_DisplayFootnotes_15"/>
      <definedName name="Field_DisplayFootnotes_153"/>
      <definedName name="Field_DisplayFootnotes_16"/>
      <definedName name="Field_DisplayFootnotes_2"/>
      <definedName name="Field_DisplayFootnotes_2_Ceilings"/>
      <definedName name="Field_DisplayFootnotes_2_Floors"/>
      <definedName name="Field_DisplayFootnotes_2_Walls"/>
      <definedName name="Field_DisplayFootnotes_31"/>
      <definedName name="Field_DisplayFootnotes_32"/>
      <definedName name="Field_DisplayFootnotes_34"/>
      <definedName name="Field_DisplayFootnotes_35"/>
      <definedName name="Field_DisplayFootnotes_36"/>
      <definedName name="Field_DisplayFootnotes_37"/>
      <definedName name="Field_DisplayFootnotes_371"/>
      <definedName name="Field_DisplayFootnotes_372"/>
      <definedName name="Field_DisplayFootnotes_373"/>
      <definedName name="Field_DisplayFootnotes_373a"/>
      <definedName name="Field_DisplayFootnotes_373b"/>
      <definedName name="Field_DisplayFootnotes_373c"/>
      <definedName name="Field_DisplayFootnotes_410"/>
      <definedName name="Field_DisplayFootnotes_4101"/>
      <definedName name="Field_DisplayFootnotes_45"/>
      <definedName name="Field_DisplayFootnotes_46"/>
      <definedName name="Field_DisplayFootnotes_48"/>
      <definedName name="Field_DisplayFootnotes_5"/>
      <definedName name="Field_DisplayFootnotes_56"/>
      <definedName name="Field_DisplayFootnotes_57"/>
      <definedName name="Field_DisplayFootnotes_5a"/>
      <definedName name="Field_DisplayFootnotes_5a3"/>
      <definedName name="Field_DisplayFootnotes_5b1"/>
      <definedName name="Field_DisplayFootnotes_5b2"/>
      <definedName name="Field_DisplayFootnotes_61"/>
      <definedName name="Field_DisplayFootnotes_62"/>
      <definedName name="Field_DisplayFootnotes_63"/>
      <definedName name="Field_DisplayFootnotes_64"/>
      <definedName name="Field_DisplayFootnotes_641"/>
      <definedName name="Field_DisplayFootnotes_642"/>
      <definedName name="Field_DisplayFootnotes_65"/>
      <definedName name="Field_DisplayFootnotes_671"/>
      <definedName name="Field_DisplayFootnotes_672"/>
      <definedName name="Field_DisplayFootnotes_71"/>
      <definedName name="Field_DisplayFootnotes_710"/>
      <definedName name="Field_DisplayFootnotes_7102"/>
      <definedName name="Field_DisplayFootnotes_72"/>
      <definedName name="Field_DisplayFootnotes_73"/>
      <definedName name="Field_DisplayFootnotes_76"/>
      <definedName name="Field_DisplayFootnotes_78"/>
      <definedName name="Field_DisplayFootnotes_81"/>
      <definedName name="Field_DisplayFootnotes_82"/>
      <definedName name="Field_DisplayFootnotes_83"/>
      <definedName name="Field_DisplayFootnotes_8CSME"/>
      <definedName name="Field_DisplayFootnotes_8DUME"/>
      <definedName name="Field_DisplayFootnotes_91"/>
      <definedName name="Field_DisplayFootnotes_911"/>
      <definedName name="Field_DisplayFootnotes_Checklist_1_3_4_5"/>
      <definedName name="Field_DisplayFootnotes_HVACSystem"/>
      <definedName name="FIELD_ERI_Path"/>
      <definedName name="FIELD_OptionalOnly_Fields"/>
      <definedName name="FIELD_Prescriptive_Path"/>
      <definedName name="FIELD_RequiredOnly_Fields"/>
      <definedName name="FIELD_Title24DwellingUnit_Path"/>
      <definedName name="FIELD_Title24WholeBuilding_Path"/>
      <definedName name="HideFootnotes_Design"/>
      <definedName name="HideFootnotes_Field"/>
      <definedName name="OptionalOnly_Fields"/>
      <definedName name="Prescriptive_Path"/>
      <definedName name="RequiredOnly_Fields"/>
      <definedName name="ResetDesignChecklist"/>
      <definedName name="ShowFootnotes_Design"/>
      <definedName name="ShowFootnotes_Field"/>
      <definedName name="Title24DwellingUnit_Path"/>
      <definedName name="Title24WholeBuilding_Path"/>
    </defined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roject Information"/>
      <sheetName val="Certificate &amp; Label Data Review"/>
      <sheetName val="1a. Rater Design Checklist"/>
      <sheetName val="1b. Rater Field Checklist"/>
      <sheetName val="2. Unit Testing Results"/>
      <sheetName val="3a. Common Area Ventilation"/>
      <sheetName val="3b. Central Exhaust Duct Test"/>
      <sheetName val="4. Appliances"/>
      <sheetName val="5. Envelope Compliance Options"/>
      <sheetName val="5a. Envelope R-Values"/>
      <sheetName val="5b. Envelope U-Factors"/>
      <sheetName val="5c. Total UA Compliance"/>
      <sheetName val="6. Fenestration"/>
      <sheetName val="7. Heated Plenum or Garage"/>
      <sheetName val="8. DHW_SHW Schedule"/>
      <sheetName val="9. Heating and Cooling Schedule"/>
      <sheetName val="10. Lighting"/>
      <sheetName val="11. Ventilation Schedule"/>
      <sheetName val="Reference Tables"/>
      <sheetName val="Dropdowns"/>
      <sheetName val="ENERGY_STAR_MFNC_Multifamily_Wo"/>
    </sheetNames>
    <definedNames>
      <definedName name="AddTableRows"/>
      <definedName name="DeleteTableRow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B5114-3E41-344E-A745-816B188B6471}" name="MCRaterD" displayName="MCRaterD" ref="A7:C68" totalsRowShown="0" headerRowDxfId="1531" dataDxfId="1530">
  <autoFilter ref="A7:C68" xr:uid="{F1C04AE5-796A-4D37-BCEF-AEA0A73709C2}">
    <filterColumn colId="0" hiddenButton="1"/>
    <filterColumn colId="1" hiddenButton="1">
      <customFilters and="1">
        <customFilter operator="notEqual" val="0"/>
        <customFilter operator="notEqual" val="N/A"/>
      </customFilters>
    </filterColumn>
    <filterColumn colId="2" hiddenButton="1"/>
  </autoFilter>
  <tableColumns count="3">
    <tableColumn id="1" xr3:uid="{AD844476-2730-7A4C-9355-9E8B010949C1}" name="Rater Design Checklist" dataDxfId="1529"/>
    <tableColumn id="2" xr3:uid="{DA763210-6020-404B-A9E2-80E46234D154}" name="Must Correct" dataDxfId="1528"/>
    <tableColumn id="3" xr3:uid="{DD48A73C-A271-494B-8BA3-CDB90E737EE8}" name="Comments" dataDxfId="1527"/>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3871777-431D-7C44-A3B6-7304E9565B86}" name="Table4" displayName="Table4" ref="B10:K16" totalsRowShown="0" headerRowDxfId="1304" dataDxfId="1302" headerRowBorderDxfId="1303" tableBorderDxfId="1301">
  <autoFilter ref="B10:K1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8647E49-C250-AD4A-84E9-E96EC2EE8F15}" name="APPLIANCE" dataDxfId="1300"/>
    <tableColumn id="2" xr3:uid="{B84046BE-720C-F14C-A598-DE91BCE1B714}" name="LOCATION" dataDxfId="1299"/>
    <tableColumn id="3" xr3:uid="{594AE57E-E9F9-D141-A858-60BBAB573A03}" name="QUANTITY" dataDxfId="1298"/>
    <tableColumn id="4" xr3:uid="{28822B79-3196-AF4A-B9A3-79A18C7FFF20}" name="MFR" dataDxfId="1297"/>
    <tableColumn id="5" xr3:uid="{5186FC11-0C9D-F54D-87E0-DC0A12A8CCFD}" name="MODEL #" dataDxfId="1296"/>
    <tableColumn id="6" xr3:uid="{448F96B6-0177-7447-BC48-4BB59770CBF8}" name="ENERGY STAR_x000a_(Yes/No)" dataDxfId="1295"/>
    <tableColumn id="7" xr3:uid="{6C4540E5-D92C-D946-B504-013AC977ED36}" name="LOCATION_x000a_(dwg/spec)" dataDxfId="1294"/>
    <tableColumn id="10" xr3:uid="{2B178CB0-3971-D045-BC44-42FCEE5ADBF1}" name="PLAN REVIEW" dataDxfId="1293"/>
    <tableColumn id="8" xr3:uid="{DE0D530A-F5CA-B64A-8B3E-CB3F89ABF726}" name="INSPECTION?" dataDxfId="1292"/>
    <tableColumn id="9" xr3:uid="{43159737-69B6-0A4A-9E46-2FB6BA674A03}" name="INSPECTION COMMENTS " dataDxfId="1291"/>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977CF16-6897-9E4A-809C-1304998E4202}" name="Table6a" displayName="Table6a" ref="B12:V20" totalsRowShown="0" headerRowDxfId="1285" dataDxfId="1283" headerRowBorderDxfId="1284" tableBorderDxfId="1282" totalsRowBorderDxfId="1281">
  <tableColumns count="21">
    <tableColumn id="1" xr3:uid="{216446F0-0B02-B641-80ED-2F2B1708B3A2}" name="ID" dataDxfId="1280"/>
    <tableColumn id="2" xr3:uid="{5F1819D5-A30A-7D4E-8394-34079391F03B}" name="WINDOW TYPE" dataDxfId="1279"/>
    <tableColumn id="3" xr3:uid="{E77A1E48-7376-3644-84C2-E05CC608DBC2}" name="Fixed or Operable?_x000a_(Prescriptive &amp; Class AW Only)" dataDxfId="1278"/>
    <tableColumn id="4" xr3:uid="{0CE8AD5D-8D08-CF43-B28A-B3DB0B6F60E1}" name="Qty" dataDxfId="1277"/>
    <tableColumn id="5" xr3:uid="{E17C15CC-C116-8C47-94ED-E49794C9A0EC}" name="Area" dataDxfId="1276"/>
    <tableColumn id="18" xr3:uid="{FDC06A3A-F9FE-4C46-922A-D19ABD71DD88}" name="Total Area" dataDxfId="1275">
      <calculatedColumnFormula>IF(Table6a[[#This Row],[Qty]]="","",Table6a[[#This Row],[Qty]]*Table6a[[#This Row],[Area]])</calculatedColumnFormula>
    </tableColumn>
    <tableColumn id="6" xr3:uid="{9BA266B3-3EE2-054F-BA82-7D87FD7D5514}" name="Window Frame_x000a_(ERI/ASHRAE &amp; Class AW only)" dataDxfId="1274"/>
    <tableColumn id="7" xr3:uid="{93F921AF-A242-0246-9242-CF66A1AAF88E}" name="ENERGY STAR Requirement_x000a_U-FACTOR" dataDxfId="1273">
      <calculatedColumnFormula>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calculatedColumnFormula>
    </tableColumn>
    <tableColumn id="22" xr3:uid="{9E5889E4-17B7-DA4F-8C97-C8B7E561788C}" name="ENERGY STAR Requirement UA" dataDxfId="1272">
      <calculatedColumnFormula>IF(Table6a[[#This Row],[Total Area]]="","",Table6a[[#This Row],[Total Area]]*Table6a[[#This Row],[ENERGY STAR Requirement
U-FACTOR]])</calculatedColumnFormula>
    </tableColumn>
    <tableColumn id="8" xr3:uid="{396525E8-1A85-184A-B96A-78A4DC82FFAD}" name="ENERGY STAR Requirement_x000a_SHGC" dataDxfId="1271">
      <calculatedColumnFormula>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calculatedColumnFormula>
    </tableColumn>
    <tableColumn id="16" xr3:uid="{3338EE47-5CDF-A94F-ADCE-9779B65E3CFB}" name="WindowFrame_UIndex" dataDxfId="1270">
      <calculatedColumnFormula>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calculatedColumnFormula>
    </tableColumn>
    <tableColumn id="17" xr3:uid="{C8447A5E-5CA2-0340-9820-6081D1AE5503}" name="WindowFrame_SHGCIndex" dataDxfId="1269">
      <calculatedColumnFormula>IF(AND(Table6a[[#This Row],[WINDOW TYPE]]="Not Class AW",$C$7="Prescriptive"),3,
IF(Table6a[[#This Row],[WINDOW TYPE]]="Not Class AW",4,
IF(AND(OR($C$7="ASHRAE",$C$7="Title 24 - Whole Building Models",$C$7="ERI",$C$7="Title 24 - Dwelling Unit Models"),$O13="&lt; 0.25"),7,
IF(AND(OR($C$7="ASHRAE",$C$7="Title 24 - Whole Building Models",$C$7="ERI",$C$7="Title 24 - Dwelling Unit Models"),$O13="0.25 &lt; PF &lt; 0.5"),8,
IF(AND(OR($C$7="ASHRAE",$C$7="Title 24 - Whole Building Models",$C$7="ERI",$C$7="Title 24 - Dwelling Unit Models"),$O13="&gt;= 0.5"),9,
IF(AND(Table6a[[#This Row],[WINDOW TYPE]]="Class AW",$C$7="Prescriptive"),4,
IF(Table6a[[#This Row],[WINDOW TYPE]]="Class AW",6,
"")))))))</calculatedColumnFormula>
    </tableColumn>
    <tableColumn id="15" xr3:uid="{5EFE6AED-4D99-024C-81DB-84FA40FEB803}" name="CZ_Index" dataDxfId="1268">
      <calculatedColumnFormula>IF(AND($C$9="Version 1.2 OR+WA",$C$7="Prescriptive",$C$8="CZ 4 C"),2,
IF(AND($C$9="Version 1.2 OR+WA",$C$7="Prescriptive",$C$8="CZ 5"),3,
IF(AND($C$9="Version 1.2 OR+WA",$C$7="Prescriptive",$C$8="CZ 6"),4,
IF($C$8="CZ 1",2,
IF($C$8="CZ 2",3,
IF($C$8="CZ 3",4,
IF($C$8="CZ 4",5,
IF($C$8="CZ 4 C",6,
IF($C$8="CZ 5",7,
IF($C$8="CZ 6",8,
IF($C$8="CZ 7",9,
IF($C$8="CZ 8",10,""))))))))))))</calculatedColumnFormula>
    </tableColumn>
    <tableColumn id="20" xr3:uid="{1C2EDA5A-4D67-3542-A025-D76C3066383B}" name="PROJECTION FACTOR (PF)_x000a_(ERI/ASHRAE &amp; Class AW only)" dataDxfId="1267"/>
    <tableColumn id="9" xr3:uid="{B59FAD9E-D408-7243-B248-A7BFCD94AC4E}" name="ASSEMBLY_x000a_U-FACTOR" dataDxfId="1266"/>
    <tableColumn id="19" xr3:uid="{53C28343-2ED9-5542-ABE2-2EECC18F968E}" name="Total UA" dataDxfId="1265">
      <calculatedColumnFormula>IF(Table6a[[#This Row],[Total Area]]="","",Table6a[[#This Row],[Total Area]]*Table6a[[#This Row],[ASSEMBLY
U-FACTOR]])</calculatedColumnFormula>
    </tableColumn>
    <tableColumn id="10" xr3:uid="{D9662D41-6B27-D949-A692-EEF28B98FA3D}" name="SHGC " dataDxfId="1264"/>
    <tableColumn id="11" xr3:uid="{D1044DF2-CED1-7D48-89E7-2C9190A07591}" name="LOCATION_x000a_(dwg/spec)" dataDxfId="1263"/>
    <tableColumn id="12" xr3:uid="{100BB3AD-1EE5-324D-8747-660F92005A28}" name="PLAN REVIEW" dataDxfId="1262"/>
    <tableColumn id="13" xr3:uid="{DE286E88-CEE1-7341-B2F3-89D3707A63E3}" name="INSPECTION?" dataDxfId="1261"/>
    <tableColumn id="14" xr3:uid="{86B19ECA-6853-9B49-A09E-E4D62867CA84}" name="INSPECTION COMMENTS" dataDxfId="1260"/>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9E10F1D-B3E6-F241-A5CB-48BDBBDE0C61}" name="Table6b" displayName="Table6b" ref="B25:V32" totalsRowShown="0" headerRowDxfId="1259" dataDxfId="1257" headerRowBorderDxfId="1258" tableBorderDxfId="1256" totalsRowBorderDxfId="1255">
  <tableColumns count="21">
    <tableColumn id="1" xr3:uid="{F6995939-1E28-C64A-B812-5A7712085482}" name="ID" dataDxfId="1254"/>
    <tableColumn id="2" xr3:uid="{5E6B44D2-B1A7-1940-9902-92A50836D699}" name="WINDOW TYPE_x000a_(optional)" dataDxfId="1253"/>
    <tableColumn id="3" xr3:uid="{04926F9B-947B-2949-915A-99132751F175}" name="Fixed or Operable?_x000a_(ERI &amp; Prescriptive Only)" dataDxfId="1252"/>
    <tableColumn id="4" xr3:uid="{E257AFEE-7A7C-2D4E-B129-67D77B1D7843}" name="Qty" dataDxfId="1251"/>
    <tableColumn id="5" xr3:uid="{19C1B98F-7657-7546-B2A2-93B14469A380}" name="Area" dataDxfId="1250"/>
    <tableColumn id="18" xr3:uid="{EDCACC60-32D1-7044-82F3-94C5394CF687}" name="Total Area" dataDxfId="1249">
      <calculatedColumnFormula>IF(Table6b[[#This Row],[Qty]]="","",Table6b[[#This Row],[Qty]]*Table6b[[#This Row],[Area]])</calculatedColumnFormula>
    </tableColumn>
    <tableColumn id="6" xr3:uid="{D57E2B86-D547-1C49-B297-033C63CFD764}" name="Window Frame_x000a_(ASHRAE only)" dataDxfId="1248"/>
    <tableColumn id="7" xr3:uid="{2D5B7B18-01F1-A04F-BFEE-5D3664027F56}" name="ENERGY STAR Requirement_x000a_U-FACTOR" dataDxfId="1247">
      <calculatedColumnFormula>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calculatedColumnFormula>
    </tableColumn>
    <tableColumn id="21" xr3:uid="{DCD4E256-B643-504D-BC6F-2D148E4CE363}" name="ENERGY STAR Requirement UA" dataDxfId="1246">
      <calculatedColumnFormula>IF(Table6b[[#This Row],[Total Area]]="","",Table6b[[#This Row],[Total Area]]*Table6b[[#This Row],[ENERGY STAR Requirement
U-FACTOR]])</calculatedColumnFormula>
    </tableColumn>
    <tableColumn id="8" xr3:uid="{D6B9FCE9-C679-A04A-B464-819F66796323}" name="ENERGY STAR Requirement_x000a_SHGC" dataDxfId="1245">
      <calculatedColumnFormula>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calculatedColumnFormula>
    </tableColumn>
    <tableColumn id="16" xr3:uid="{35438BF4-703E-A645-856E-2285FD87C843}" name="WindowFrame_UIndex" dataDxfId="1244">
      <calculatedColumnFormula>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calculatedColumnFormula>
    </tableColumn>
    <tableColumn id="17" xr3:uid="{C06F89AC-7376-C344-90A2-DB5F9D7B3906}" name="WindowFrame_SHGCIndex" dataDxfId="1243">
      <calculatedColumnFormula>IF(OR($C$7="Prescriptive",$C$7="ERI",$C$7="Title 24 - Dwelling Unit Models"),4,
IF(AND(OR($C$7="ASHRAE",$C$7="Title 24 - Whole Building Models"),$O26="&lt; 0.25"),7,
IF(AND(OR($C$7="ASHRAE",$C$7="Title 24 - Whole Building Models"),$O26="0.25 &lt; PF &lt; 0.5"),8,
IF(AND(OR($C$7="ASHRAE",$C$7="Title 24 - Whole Building Models"),$O26="&gt;= 0.5"),9,
IF($C$7="","","")))))</calculatedColumnFormula>
    </tableColumn>
    <tableColumn id="15" xr3:uid="{ED61C0F5-5142-9A43-8D04-4162D29E99BD}" name="CZ_Index" dataDxfId="1242">
      <calculatedColumnFormula>IF(AND($C$9="Version 1.2 OR+WA",OR($C$7="Prescriptive",$C$7="ERI",$C$7="Title 24 - Dwelling Unit Models"),$C$8="CZ 4 C"),2,
IF(AND($C$9="Version 1.2 OR+WA",OR($C$7="Prescriptive",$C$7="ERI",$C$7="Title 24 - Dwelling Unit Models"),$C$8="CZ 5"),3,
IF(AND($C$9="Version 1.2 OR+WA",OR($C$7="Prescriptive",$C$7="ERI",$C$7="Title 24 - Dwelling Unit Models"),$C$8="CZ 6"),4,
IF($C$8="CZ 1",2,
IF($C$8="CZ 2",3,
IF($C$8="CZ 3",4,
IF($C$8="CZ 4",5,
IF($C$8="CZ 4 C",6,
IF($C$8="CZ 5",7,
IF($C$8="CZ 6",8,
IF($C$8="CZ 7",9,
IF($C$8="CZ 8",10,""))))))))))))</calculatedColumnFormula>
    </tableColumn>
    <tableColumn id="20" xr3:uid="{1CC4E04D-8D43-554F-AB15-6F701DF9511B}" name="PROJECTION FACTOR (PF)_x000a_(ASHRAE only)" dataDxfId="1241"/>
    <tableColumn id="9" xr3:uid="{955AD1A2-0FDA-8243-AA41-721C468E2A10}" name="ASSEMBLY_x000a_U-FACTOR" dataDxfId="1240"/>
    <tableColumn id="19" xr3:uid="{2FAB1B15-F216-C04E-AB56-63FA3E278820}" name="Total UA" dataDxfId="1239">
      <calculatedColumnFormula>IF(Table6b[[#This Row],[Total Area]]="","",Table6b[[#This Row],[Total Area]]*Table6b[[#This Row],[ASSEMBLY
U-FACTOR]])</calculatedColumnFormula>
    </tableColumn>
    <tableColumn id="10" xr3:uid="{20C66E66-A30C-164E-A671-854C923E812B}" name="SHGC " dataDxfId="1238"/>
    <tableColumn id="11" xr3:uid="{4F586928-8639-074C-B0BB-0C60C73E2AD0}" name="LOCATION_x000a_(dwg/spec)" dataDxfId="1237"/>
    <tableColumn id="12" xr3:uid="{EC29A016-B21E-094E-8730-8ADAFB65A535}" name="PLAN REVIEW" dataDxfId="1236"/>
    <tableColumn id="13" xr3:uid="{0C7C1317-BC23-BF41-A183-B940ED0757BF}" name="INSPECTION?" dataDxfId="1235"/>
    <tableColumn id="14" xr3:uid="{42BA21E7-2BBD-EE47-B844-76524E88DB56}" name="INSPECTION COMMENTS" dataDxfId="1234"/>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CD9BFCE-E27D-C64F-ACEC-3A73633B993D}" name="Table6c" displayName="Table6c" ref="B37:V42" totalsRowShown="0" headerRowDxfId="1233" dataDxfId="1231" headerRowBorderDxfId="1232" tableBorderDxfId="1230" totalsRowBorderDxfId="1229">
  <autoFilter ref="B37:V42" xr:uid="{00000000-0009-0000-0100-00002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3E468E8-DB9B-6F4F-86BC-0CFD4306B81A}" name="ID" dataDxfId="1228"/>
    <tableColumn id="2" xr3:uid="{B7B81312-7FBC-C84C-9859-8D0B73843C65}" name="Door Type" dataDxfId="1227"/>
    <tableColumn id="3" xr3:uid="{AAC47269-BE96-A445-BC2D-777708409B55}" name="Dwelling/ Common?" dataDxfId="1226"/>
    <tableColumn id="4" xr3:uid="{EF92D42D-B7B2-B941-88BD-EED297B79FC4}" name="Qty" dataDxfId="1225"/>
    <tableColumn id="5" xr3:uid="{322E8006-CFF7-414B-BB9F-79CA00F42C26}" name="Area" dataDxfId="1224"/>
    <tableColumn id="18" xr3:uid="{15CE7F23-AADA-2E47-96AB-C6A4D49E3E9E}" name="Total Area" dataDxfId="1223">
      <calculatedColumnFormula>IF(Table6c[[#This Row],[Qty]]="","",Table6c[[#This Row],[Qty]]*Table6c[[#This Row],[Area]])</calculatedColumnFormula>
    </tableColumn>
    <tableColumn id="6" xr3:uid="{E1177724-D717-4D48-9447-49FDA19CC01F}" name="Space Served_x000a_(optional)" dataDxfId="1222"/>
    <tableColumn id="7" xr3:uid="{FC17E833-D23A-214D-8F4A-E45B123ABCC6}" name="ENERGY STAR Requirement_x000a_U-FACTOR" dataDxfId="1221">
      <calculatedColumnFormula>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calculatedColumnFormula>
    </tableColumn>
    <tableColumn id="21" xr3:uid="{DEFD72A5-E9D8-0340-9419-8F76B08DD696}" name="ENERGY STAR Requirement UA" dataDxfId="1220">
      <calculatedColumnFormula>IF(Table6c[[#This Row],[Total Area]]="","",Table6c[[#This Row],[Total Area]]*Table6c[[#This Row],[ENERGY STAR Requirement
U-FACTOR]])</calculatedColumnFormula>
    </tableColumn>
    <tableColumn id="8" xr3:uid="{0C7C0A8C-7F58-8E4C-8F89-D2F55EA291D4}" name="ENERGY STAR Requirement_x000a_SHGC" dataDxfId="1219">
      <calculatedColumnFormula>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calculatedColumnFormula>
    </tableColumn>
    <tableColumn id="16" xr3:uid="{C5D0B68F-0E00-EB4E-AF00-935706756D51}" name="Door Type_Uindex" dataDxfId="1218">
      <calculatedColumnFormula>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calculatedColumnFormula>
    </tableColumn>
    <tableColumn id="17" xr3:uid="{7AFEF4CF-7104-0245-8B70-2D0A7ADEFFBB}" name="Door Type_SHGCIndex" dataDxfId="1217">
      <calculatedColumnFormula>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calculatedColumnFormula>
    </tableColumn>
    <tableColumn id="15" xr3:uid="{9F496ED6-2EB5-5C4E-9ECB-AE195E845B42}" name="CZ_Index" dataDxfId="1216">
      <calculatedColumnFormula>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calculatedColumnFormula>
    </tableColumn>
    <tableColumn id="9" xr3:uid="{F4DEC510-3972-EB4A-93AC-2772CBCE5D04}" name="PROJECTION FACTOR (PF)_x000a_(ASHRAE only)" dataDxfId="1215"/>
    <tableColumn id="19" xr3:uid="{0036ADD5-4C70-A94B-A555-54E9A405CACE}" name="ASSEMBLY_x000a_U-FACTOR" dataDxfId="1214"/>
    <tableColumn id="10" xr3:uid="{6F65BF68-41F3-B842-8414-6E6B5FC7D9E3}" name="Total UA" dataDxfId="1213">
      <calculatedColumnFormula>IF(Table6c[[#This Row],[Total Area]]="","",Table6c[[#This Row],[Total Area]]*Table6c[[#This Row],[ASSEMBLY
U-FACTOR]])</calculatedColumnFormula>
    </tableColumn>
    <tableColumn id="11" xr3:uid="{772DB709-EA3A-434E-8E56-133FBD40511A}" name="SHGC " dataDxfId="1212"/>
    <tableColumn id="12" xr3:uid="{090371A6-B9FF-534F-9447-65A2B278AB47}" name="LOCATION_x000a_(dwg/spec)" dataDxfId="1211"/>
    <tableColumn id="13" xr3:uid="{A2B6ECFF-394C-7C4C-8CBC-562497E96225}" name="PLAN REVIEW" dataDxfId="1210"/>
    <tableColumn id="14" xr3:uid="{C725DB0F-6CAD-6C4D-9BC1-A72A1714CE2A}" name="INSPECTION?" dataDxfId="1209"/>
    <tableColumn id="20" xr3:uid="{4F9F9B8B-77D7-4841-A9AB-5CF1F157270F}" name="INSPECTION COMMENTS " dataDxfId="1208"/>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25BFAE9-A76B-AB46-82FB-EE3DFC83C8C3}" name="Table8a" displayName="Table8a" ref="B9:M14" totalsRowShown="0" tableBorderDxfId="1206">
  <autoFilter ref="B9:M14" xr:uid="{2B863F7A-E006-479A-9056-2D541DA02BEE}"/>
  <tableColumns count="12">
    <tableColumn id="1" xr3:uid="{82FCCE70-B134-CA4A-88AB-31F0A62149BB}" name="Column1" dataDxfId="1205"/>
    <tableColumn id="2" xr3:uid="{AB299346-9D15-4746-B857-5B23D5704EC7}" name="Column2" dataDxfId="1204"/>
    <tableColumn id="3" xr3:uid="{BF740A85-EED7-C04F-8214-7F34D242C20C}" name="Column3" dataDxfId="1203"/>
    <tableColumn id="4" xr3:uid="{3D78003D-67B7-6A4F-A80F-C7988F2F7E9B}" name="Column4" dataDxfId="1202"/>
    <tableColumn id="5" xr3:uid="{D56F9F2C-BCDE-8D42-B123-B5F81E91B593}" name="Column5" dataDxfId="1201"/>
    <tableColumn id="6" xr3:uid="{BA38F6A9-BD8C-D248-A51C-8F9FFA097627}" name="Column6" dataDxfId="1200"/>
    <tableColumn id="7" xr3:uid="{05DCAF5F-EB50-B644-B923-2D138803E581}" name="Column7" dataDxfId="1199"/>
    <tableColumn id="8" xr3:uid="{2B9D87E4-212D-6243-85B1-EA58702FCA06}" name="Column8" dataDxfId="1198"/>
    <tableColumn id="9" xr3:uid="{1C2232B7-9C38-9049-A3D2-845D97D71448}" name="Column9" dataDxfId="1197"/>
    <tableColumn id="10" xr3:uid="{244EF0A6-176D-6440-8622-EDE4340E9E52}" name="Column10" dataDxfId="1196"/>
    <tableColumn id="11" xr3:uid="{1864288D-AC03-4647-A24D-6D5EFFCC43F6}" name="Column11" dataDxfId="1195"/>
    <tableColumn id="12" xr3:uid="{BE13CCA2-2B4A-1040-83CC-4EF2518ADC0A}" name="Column12" dataDxfId="1194"/>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FBE9D59-5E35-0E49-B2C5-D13CA274403D}" name="Table9" displayName="Table9" ref="B26:M30" totalsRowShown="0" tableBorderDxfId="1193">
  <autoFilter ref="B26:M30" xr:uid="{50099753-FFF2-4BC9-B654-99B83703814B}"/>
  <tableColumns count="12">
    <tableColumn id="1" xr3:uid="{10004F53-F2E6-204C-B341-DF4F2FE82208}" name="Column1" dataDxfId="1192"/>
    <tableColumn id="2" xr3:uid="{751597C9-F977-7444-BA4F-4A856407F94D}" name="Column2" dataDxfId="1191"/>
    <tableColumn id="3" xr3:uid="{059000C0-EA70-F24A-A53E-FCA6D08D8FB2}" name="Column3" dataDxfId="1190"/>
    <tableColumn id="4" xr3:uid="{A3855085-3AA6-2341-800C-24816C78AAEB}" name="Column4" dataDxfId="1189"/>
    <tableColumn id="5" xr3:uid="{1EB0956E-DB7E-7E42-8DDE-18B669638720}" name="Column5" dataDxfId="1188"/>
    <tableColumn id="6" xr3:uid="{0155DB94-082A-8049-A4DE-55EDD88FA48E}" name="Column6" dataDxfId="1187"/>
    <tableColumn id="7" xr3:uid="{8CE26546-8B2A-6B4F-AC4E-0843714B4049}" name="Column7" dataDxfId="1186"/>
    <tableColumn id="8" xr3:uid="{20475008-445A-8F43-B5A4-0D828252ECD3}" name="Column8" dataDxfId="1185"/>
    <tableColumn id="9" xr3:uid="{3FC1747F-F4AC-4347-A15D-E7830CFE475A}" name="Column9" dataDxfId="1184"/>
    <tableColumn id="10" xr3:uid="{359C9C90-381E-4340-B554-63802A8BB4D9}" name="Column10" dataDxfId="1183"/>
    <tableColumn id="11" xr3:uid="{39AA7B6C-2EAB-C34C-BF65-2E915CE4BC06}" name="Column11" dataDxfId="1182"/>
    <tableColumn id="12" xr3:uid="{7129EB4B-E070-A544-839D-283125B97EB4}" name="Column12" dataDxfId="118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A89E9AB-EA08-7444-81C4-CD28B292FDA4}" name="Table9c" displayName="Table9c" ref="B21:M25" totalsRowShown="0" headerRowDxfId="1180" dataDxfId="1178" headerRowBorderDxfId="1179" tableBorderDxfId="1177" totalsRowBorderDxfId="1176">
  <autoFilter ref="B21:M25"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CF0700F-2D13-4645-BE14-2A015EA61C42}" name="ID" dataDxfId="1175"/>
    <tableColumn id="2" xr3:uid="{5DB9EA19-6514-574E-8954-546582E24E92}" name="DESCRIPTION" dataDxfId="1174"/>
    <tableColumn id="3" xr3:uid="{6B8CE14D-A5A9-9D4F-AA7E-3EB7CB992883}" name="LOCATION" dataDxfId="1173"/>
    <tableColumn id="4" xr3:uid="{8A5DAAED-B635-9841-9569-FB97499EC480}" name="MFR" dataDxfId="1172"/>
    <tableColumn id="5" xr3:uid="{08FCB9CA-837C-DF4F-8677-6B52A35949AE}" name="MODEL #" dataDxfId="1171"/>
    <tableColumn id="6" xr3:uid="{012E5A93-B1E9-7B41-9897-A58D17B8F6F1}" name="HORSE_x000a_POWER (HP)" dataDxfId="1170"/>
    <tableColumn id="7" xr3:uid="{D125E59B-6F5F-4C4B-A065-617B49DB31F5}" name="NEMA PREMIUM?" dataDxfId="1169"/>
    <tableColumn id="8" xr3:uid="{E10D9D5B-92CA-3F40-97D8-371BB7A8CF2E}" name="VFD?" dataDxfId="1168"/>
    <tableColumn id="9" xr3:uid="{D564298E-C046-1F46-A14D-A6FCE4461BF1}" name="LOCATION_x000a_(dwg/spec)" dataDxfId="1167"/>
    <tableColumn id="10" xr3:uid="{878AD614-ACB1-CA4F-AFDB-85FF6A358C67}" name="PLAN REVIEW" dataDxfId="1166"/>
    <tableColumn id="11" xr3:uid="{5B06EC87-86D4-454A-93B1-F14282DAF222}" name="INSPECTION?" dataDxfId="1165"/>
    <tableColumn id="12" xr3:uid="{56E310FD-5F49-7B41-A164-DEFA003D3220}" name="INSPECTION COMMENTS" dataDxfId="1164"/>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30C6AD8-FC61-CE45-AC95-1D4D6D1B1A7E}" name="Table13" displayName="Table13" ref="B8:M14" totalsRowShown="0" headerRowDxfId="1163" tableBorderDxfId="1162">
  <autoFilter ref="B8:M14" xr:uid="{F7A7DAEF-0C3D-4F22-97AD-8914B68B6C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9A66E9F-1425-BD44-8709-F27224BDC3C1}" name="ID" dataDxfId="1161"/>
    <tableColumn id="2" xr3:uid="{76927E79-8676-A741-8DA6-917BE3A8B08E}" name="DESCRIPTION" dataDxfId="1160"/>
    <tableColumn id="3" xr3:uid="{BBDB9036-E641-144B-8237-FA43706A5830}" name="HEATING/ COOLING" dataDxfId="1159"/>
    <tableColumn id="4" xr3:uid="{D53388FD-0FCF-D145-A3DE-BF6A70AE844A}" name="LOCATION/ SERVES" dataDxfId="1158"/>
    <tableColumn id="5" xr3:uid="{B0154290-6808-9F4A-B64F-5AB0E0FB32D4}" name="QUANTITY" dataDxfId="1157"/>
    <tableColumn id="6" xr3:uid="{93BE350E-5535-C740-B427-68E798E806C8}" name="MFR" dataDxfId="1156"/>
    <tableColumn id="7" xr3:uid="{BB9C1A56-ABF1-C04E-8044-4E1437734515}" name="AHRI CERT#" dataDxfId="1155"/>
    <tableColumn id="8" xr3:uid="{8D91725F-98C2-BB43-AEE9-23506680F366}" name="Column1" dataDxfId="1154"/>
    <tableColumn id="9" xr3:uid="{283FA6B4-03AC-194A-914D-145D934BC0C9}" name="LOCATION_x000a_(dwg/spec)" dataDxfId="1153"/>
    <tableColumn id="10" xr3:uid="{E0048C57-4F3C-EE4B-9FB6-69CC629FF31D}" name="PLAN REVIEW" dataDxfId="1152"/>
    <tableColumn id="11" xr3:uid="{7C6D32DE-6D7F-6346-AE09-2E5AC5A61E14}" name="INSPECTION?" dataDxfId="1151"/>
    <tableColumn id="12" xr3:uid="{20CC3ED0-4959-6343-B042-123F8CA850F6}" name="INSPECTION COMMENTS" dataDxfId="1150"/>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87C44A9-6C77-3E41-8C4E-4468790BF835}" name="Table10b15" displayName="Table10b15" ref="B18:AM31" totalsRowShown="0" headerRowDxfId="1074" dataDxfId="1072" headerRowBorderDxfId="1073" tableBorderDxfId="1071">
  <autoFilter ref="B18:AM31"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E4C3114-5F53-B945-B3CB-9FE4B57CB8AC}" name="Multiplier" dataDxfId="1070"/>
    <tableColumn id="2" xr3:uid="{F7A3513D-D87F-354A-82B5-9C2CC7005745}" name="Unit Plan" dataDxfId="1069"/>
    <tableColumn id="3" xr3:uid="{5FD91B93-88C3-C94C-A3A7-EE6960D8907E}" name="Room Type" dataDxfId="1068"/>
    <tableColumn id="4" xr3:uid="{81FDC7D0-C644-3E4F-B41F-84A0BDDEDA5C}" name="Lit Area (SF)" dataDxfId="1067"/>
    <tableColumn id="5" xr3:uid="{4F8C2CE7-68A2-334D-8880-1348CA2C19FD}" name="Unlit Area (SF)" dataDxfId="1066"/>
    <tableColumn id="6" xr3:uid="{864E0939-F622-BA40-AC00-CFFAD9321E55}" name="Watts/SF" dataDxfId="1065">
      <calculatedColumnFormula>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calculatedColumnFormula>
    </tableColumn>
    <tableColumn id="7" xr3:uid="{C14D5BF2-9D8A-5744-B381-A53332260B82}" name="Column20" dataDxfId="1064"/>
    <tableColumn id="8" xr3:uid="{71B8E97C-6626-D542-B875-2B7FE2A65873}" name="A" dataDxfId="1063"/>
    <tableColumn id="9" xr3:uid="{7226E042-3BCD-5342-8595-3AAF7A6A62BE}" name="B" dataDxfId="1062"/>
    <tableColumn id="12" xr3:uid="{F109F178-BD1A-9341-BFB4-C89B87A08424}" name="C" dataDxfId="1061"/>
    <tableColumn id="13" xr3:uid="{8F294569-0C38-624F-BB24-9A4BB36ADFB0}" name="D" dataDxfId="1060"/>
    <tableColumn id="10" xr3:uid="{EA48361E-F9C7-0645-90B1-5DF02BD9B298}" name="E" dataDxfId="1059"/>
    <tableColumn id="11" xr3:uid="{DF94E682-94B3-624C-8A20-CF53450F880F}" name="F" dataDxfId="1058"/>
    <tableColumn id="14" xr3:uid="{7AF23161-1D27-DE41-9471-629F65B1FB38}" name="G" dataDxfId="1057"/>
    <tableColumn id="15" xr3:uid="{305A1887-3A26-B04D-92C5-E1A6D72C8F1B}" name="H" dataDxfId="1056"/>
    <tableColumn id="16" xr3:uid="{67298F2E-332D-1748-BFA7-A54B5C6F98D3}" name="I" dataDxfId="1055"/>
    <tableColumn id="17" xr3:uid="{5845BE9C-6B0C-644E-BCFB-7052B14650B6}" name="J" dataDxfId="1054"/>
    <tableColumn id="18" xr3:uid="{7A7E09D3-C544-3E48-B51F-D46B94AA1BB2}" name="K" dataDxfId="1053"/>
    <tableColumn id="19" xr3:uid="{2F8340C4-5EA3-0E45-B331-FFF2D5A9DE16}" name="L" dataDxfId="1052"/>
    <tableColumn id="20" xr3:uid="{1D1B274D-093F-B142-9BAC-FCEE7D1DB46E}" name="M" dataDxfId="1051"/>
    <tableColumn id="21" xr3:uid="{1EF7220E-5665-0B44-A2E0-E4F7B82BF00A}" name="N" dataDxfId="1050"/>
    <tableColumn id="22" xr3:uid="{507FF91D-4EB9-A442-80C4-C29AD01293FF}" name="O" dataDxfId="1049"/>
    <tableColumn id="23" xr3:uid="{A64A9C05-9E17-F049-8645-A2647AA027D9}" name="P" dataDxfId="1048"/>
    <tableColumn id="24" xr3:uid="{B6CF7D34-D9D7-0243-AEEE-BD33A72E4A98}" name="Q" dataDxfId="1047"/>
    <tableColumn id="25" xr3:uid="{19E95FCB-5B44-0F4A-9B64-F523BB923C04}" name="R" dataDxfId="1046"/>
    <tableColumn id="26" xr3:uid="{2A5A7A12-A170-224B-8F8C-2CD73C829E7C}" name="S" dataDxfId="1045"/>
    <tableColumn id="27" xr3:uid="{B543FBE3-7FE7-754E-B539-E82F23C452FE}" name="T" dataDxfId="1044"/>
    <tableColumn id="28" xr3:uid="{246553A3-962D-8F4B-B290-058C92C4715D}" name="U" dataDxfId="1043"/>
    <tableColumn id="29" xr3:uid="{E75DD73D-BB95-A24C-AA04-4013CD0803A9}" name="V" dataDxfId="1042"/>
    <tableColumn id="30" xr3:uid="{3E1345D9-A767-E741-B1E5-C42D9E288A98}" name="W" dataDxfId="1041"/>
    <tableColumn id="31" xr3:uid="{95D4CB4D-96DF-B944-B9FF-D467F0A5B2A0}" name="X" dataDxfId="1040"/>
    <tableColumn id="32" xr3:uid="{2DE13115-C4FD-5E42-8053-8F91F3AD1924}" name="Y" dataDxfId="1039"/>
    <tableColumn id="33" xr3:uid="{8E698641-A6F4-2447-80F2-4AC3A58CC5CA}" name="Z" dataDxfId="1038"/>
    <tableColumn id="34" xr3:uid="{8398EB8B-8BE9-F846-A623-D687A56D10A7}" name="Column19" dataDxfId="1037"/>
    <tableColumn id="35" xr3:uid="{3723C610-A862-8946-90C8-D9D20CD09E04}" name="Total Fixtures" dataDxfId="1036">
      <calculatedColumnFormula>SUM(Table10b15[[#This Row],[A]:[Z]])*Table10b15[[#This Row],[Multiplier]]</calculatedColumnFormula>
    </tableColumn>
    <tableColumn id="36" xr3:uid="{4A4A6EEF-B482-3B4B-8109-FFF24D1DFDE3}" name="TierI/TierII/ES Fixtures" dataDxfId="1035">
      <calculatedColumnFormula>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calculatedColumnFormula>
    </tableColumn>
    <tableColumn id="37" xr3:uid="{8B57B2F0-80C5-4242-8BAE-2AB50255EE56}" name="Watts (Lit Area) 3x" dataDxfId="1034">
      <calculatedColumnFormula>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calculatedColumnFormula>
    </tableColumn>
    <tableColumn id="38" xr3:uid="{B8BD96C9-6C46-0449-B298-109D9EC48854}" name="Warning?" dataDxfId="1033">
      <calculatedColumnFormula>IF(AND(OR(Table10b15[[#This Row],[Room Type]]="Bedroom",Table10b15[[#This Row],[Room Type]]="Living Room",Table10b15[[#This Row],[Room Type]]="Dining Room"),Table10b15[[#This Row],[Lit Area (SF)]]&gt;Table10b15[[#This Row],[Watts (Lit Area) 3x]]),"Display Lit Area Warning","")</calculatedColumnFormula>
    </tableColumn>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90E6B96-DDD7-D64E-ACFD-6B4F237C994A}" name="Table10a17" displayName="Table10a17" ref="H13:AH15" totalsRowShown="0" headerRowDxfId="1032" dataDxfId="1030" headerRowBorderDxfId="1031" tableBorderDxfId="1029" totalsRowBorderDxfId="1028">
  <autoFilter ref="H13:AH15"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14C030A0-695F-AB42-89B3-5B9651DDE20C}" name="Fixture Label" dataDxfId="1027"/>
    <tableColumn id="3" xr3:uid="{7DA01778-A86C-D949-A128-D7CAC180D31F}" name="A" dataDxfId="1026"/>
    <tableColumn id="4" xr3:uid="{04D969E3-EA1C-9D40-94FF-19CB7D2F49EA}" name="B" dataDxfId="1025"/>
    <tableColumn id="5" xr3:uid="{1ADD6315-E87E-7648-A610-E915BBDA36CC}" name="C" dataDxfId="1024"/>
    <tableColumn id="6" xr3:uid="{2E9D96C8-831D-8C45-8D16-BD51C225DC2F}" name="D" dataDxfId="1023"/>
    <tableColumn id="1" xr3:uid="{51B1253F-1986-DC41-9FA1-E8E32DE3AFC8}" name="E" dataDxfId="1022"/>
    <tableColumn id="7" xr3:uid="{995EA3E7-D345-E845-B23B-9E1BA586C3CC}" name="F" dataDxfId="1021"/>
    <tableColumn id="8" xr3:uid="{6C6D5D23-27AA-1042-94EB-C5A0533349E9}" name="G" dataDxfId="1020"/>
    <tableColumn id="9" xr3:uid="{CBEFC538-FA1E-CE49-B8DA-D352A5065DBA}" name="H" dataDxfId="1019"/>
    <tableColumn id="10" xr3:uid="{9ABB498F-07B3-0840-A11C-C3E345291304}" name="I" dataDxfId="1018"/>
    <tableColumn id="11" xr3:uid="{B603E585-3ED1-C147-8DC4-ED66DD3118AF}" name="J" dataDxfId="1017"/>
    <tableColumn id="12" xr3:uid="{23017A14-53EF-DE4A-8A5F-FA227644D305}" name="K" dataDxfId="1016"/>
    <tableColumn id="13" xr3:uid="{A2E74691-8EE1-E845-883A-1EAB20742787}" name="L" dataDxfId="1015"/>
    <tableColumn id="14" xr3:uid="{DA9C27E4-5DB6-064D-B091-9BB2CACFCAC3}" name="M" dataDxfId="1014"/>
    <tableColumn id="15" xr3:uid="{D79A30D4-1233-E94F-AB5A-E13D95FD0322}" name="N" dataDxfId="1013"/>
    <tableColumn id="16" xr3:uid="{F93406BC-3B69-B64A-8709-F3300C754A88}" name="O" dataDxfId="1012"/>
    <tableColumn id="17" xr3:uid="{D6F95A18-F9C2-DF4E-AACD-4B3309D51667}" name="P" dataDxfId="1011"/>
    <tableColumn id="18" xr3:uid="{3F0E487F-79CD-E342-B2FE-62B8F8D7A53A}" name="Q" dataDxfId="1010"/>
    <tableColumn id="19" xr3:uid="{B97E6F84-7379-6243-A409-49FA91F3EB19}" name="R" dataDxfId="1009"/>
    <tableColumn id="20" xr3:uid="{18427490-DD2B-144E-A3B3-A2386B165307}" name="S" dataDxfId="1008"/>
    <tableColumn id="21" xr3:uid="{FCAB71B2-4F01-7343-8223-CA5701A9ADAE}" name="T" dataDxfId="1007"/>
    <tableColumn id="22" xr3:uid="{E1BB3F5A-B785-2740-8E82-DDB673A3AFE4}" name="U" dataDxfId="1006"/>
    <tableColumn id="23" xr3:uid="{0B5F370A-937B-AF4C-BE86-E51BE304E2F0}" name="V" dataDxfId="1005"/>
    <tableColumn id="24" xr3:uid="{60B43B67-B6AC-2044-982B-8FBB6A605E51}" name="W" dataDxfId="1004"/>
    <tableColumn id="25" xr3:uid="{BA4AE93C-17AD-344B-97D9-502B1EDBD5D0}" name="X" dataDxfId="1003"/>
    <tableColumn id="26" xr3:uid="{F3312561-C0DA-5743-B1AD-988794C72F20}" name="Y" dataDxfId="1002"/>
    <tableColumn id="27" xr3:uid="{4FF7D573-2BB4-1E46-9B11-E5461EEA496B}" name="Z" dataDxfId="1001"/>
  </tableColumns>
  <tableStyleInfo name="TableStyleLight4" showFirstColumn="1" showLastColumn="0"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118C92-2097-AF45-9DF7-811B63573EED}" name="MCRaterF" displayName="MCRaterF" ref="A72:C213" totalsRowShown="0" headerRowDxfId="1526" dataDxfId="1525">
  <autoFilter ref="A72:C213" xr:uid="{F4BE856B-ECBB-478E-A4D7-0727EBCAAA33}">
    <filterColumn colId="0" hiddenButton="1"/>
    <filterColumn colId="1" hiddenButton="1">
      <customFilters and="1">
        <customFilter operator="notEqual" val="0"/>
        <customFilter operator="notEqual" val="0"/>
      </customFilters>
    </filterColumn>
    <filterColumn colId="2" hiddenButton="1"/>
  </autoFilter>
  <tableColumns count="3">
    <tableColumn id="1" xr3:uid="{815388FE-2C73-4B4D-BCF2-833B6CCE30C3}" name="Rater Design Checklist" dataDxfId="1524"/>
    <tableColumn id="2" xr3:uid="{146C4A98-32AF-7743-9DB5-4C54D9A05819}" name="Must Correct " dataDxfId="1523"/>
    <tableColumn id="3" xr3:uid="{2164A5F5-8955-C843-9BE6-EE12B434FB78}" name="Notes/Comments" dataDxfId="1522"/>
  </tableColumns>
  <tableStyleInfo name="Table Sty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F3DDDD5-9AD0-8C4F-B925-6C67603C0F63}" name="Table10c20" displayName="Table10c20" ref="H38:AH40" totalsRowShown="0" headerRowDxfId="1000" dataDxfId="998" headerRowBorderDxfId="999" tableBorderDxfId="997" totalsRowBorderDxfId="996">
  <autoFilter ref="H38:AH40"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0B5A5CD8-C56C-434A-B614-348DE025554B}" name="Fixture Label" dataDxfId="995"/>
    <tableColumn id="3" xr3:uid="{50DD988E-C916-B54F-BDE8-0197D8697CCD}" name="A" dataDxfId="994"/>
    <tableColumn id="4" xr3:uid="{AFE020C9-2F05-9E4F-9B2F-54CE8DAC2C2F}" name="B" dataDxfId="993"/>
    <tableColumn id="5" xr3:uid="{665BE626-79BB-6144-97E3-E7E2D0FD465E}" name="C" dataDxfId="992"/>
    <tableColumn id="6" xr3:uid="{B89405DE-723E-1244-B9EA-9260286BBAEC}" name="D" dataDxfId="991"/>
    <tableColumn id="1" xr3:uid="{6D65AA37-6F8A-2448-A6D0-994EE17BAD70}" name="E" dataDxfId="990"/>
    <tableColumn id="7" xr3:uid="{04405339-5448-BC47-975A-2F0D12093D7A}" name="F" dataDxfId="989"/>
    <tableColumn id="8" xr3:uid="{7A7EE1B6-B596-7349-B578-E9A9D9BC2BF1}" name="G" dataDxfId="988"/>
    <tableColumn id="9" xr3:uid="{5B3BFD0D-138B-CE46-AACC-5DF473EF8BE7}" name="H" dataDxfId="987"/>
    <tableColumn id="10" xr3:uid="{61BC6BEC-13EC-4C48-9D1A-D38DFC60585E}" name="I" dataDxfId="986"/>
    <tableColumn id="11" xr3:uid="{7FF3FD4F-6E9E-D44B-BD08-2BDB13F06DBC}" name="J" dataDxfId="985"/>
    <tableColumn id="12" xr3:uid="{B388F6EF-88DF-784F-9CDD-C1F0EE8A75F2}" name="K" dataDxfId="984"/>
    <tableColumn id="13" xr3:uid="{352B4BD6-436D-194C-9EBD-D24C1B1BD0C0}" name="L" dataDxfId="983"/>
    <tableColumn id="14" xr3:uid="{E2354829-11F4-A84D-BF42-4A2A1E3E58CE}" name="M" dataDxfId="982"/>
    <tableColumn id="15" xr3:uid="{7DF05E46-61E3-EE48-9F12-4C575032CDF7}" name="N" dataDxfId="981"/>
    <tableColumn id="16" xr3:uid="{B674F296-466A-4C4A-B5DB-B1F53134F95F}" name="O" dataDxfId="980"/>
    <tableColumn id="17" xr3:uid="{E19F80BA-6EBA-E94B-B0CB-FBA95EF8511B}" name="P" dataDxfId="979"/>
    <tableColumn id="18" xr3:uid="{1E6DCD09-D398-DC41-AD4E-B20CA0A7AAEB}" name="Q" dataDxfId="978"/>
    <tableColumn id="19" xr3:uid="{BAD6FEB0-BB04-A74B-86F1-B6E1FF94F9B6}" name="R" dataDxfId="977"/>
    <tableColumn id="20" xr3:uid="{97D1F981-EB72-9A4F-A505-1A9D76182FEA}" name="S" dataDxfId="976"/>
    <tableColumn id="21" xr3:uid="{66C36A85-B726-8648-A3AF-6393D12DE1FA}" name="T" dataDxfId="975"/>
    <tableColumn id="22" xr3:uid="{EFE7BA5E-F973-5B4C-AA27-F7E776114380}" name="U" dataDxfId="974"/>
    <tableColumn id="23" xr3:uid="{22F344A7-5592-DE49-8299-0B076A31A767}" name="V" dataDxfId="973"/>
    <tableColumn id="24" xr3:uid="{F4DCAA8A-A98A-904E-B4C8-E292F54BF7C7}" name="W" dataDxfId="972"/>
    <tableColumn id="25" xr3:uid="{125EFD59-DD18-6D4C-BC6B-AEA7A62587B9}" name="X" dataDxfId="971"/>
    <tableColumn id="26" xr3:uid="{B5485C40-04AB-CA4E-8A17-F2F1F5AD30DD}" name="Y" dataDxfId="970"/>
    <tableColumn id="27" xr3:uid="{6DE2D29C-8BA5-C94A-A441-969882683296}" name="Z" dataDxfId="969"/>
  </tableColumns>
  <tableStyleInfo name="TableStyleLight4" showFirstColumn="1" showLastColumn="0" showRowStripes="0" showColumnStripes="1"/>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AE8ED7B-678F-554D-86CF-37CA81B85D62}" name="Table10e80" displayName="Table10e80" ref="B46:AQ54" totalsRowShown="0" headerRowDxfId="968" dataDxfId="966" headerRowBorderDxfId="967" tableBorderDxfId="965">
  <autoFilter ref="B46:AQ54" xr:uid="{00000000-0009-0000-0100-00003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autoFilter>
  <tableColumns count="42">
    <tableColumn id="1" xr3:uid="{204CF930-3F9B-B64F-9BA4-B34C719F8330}" name="Multiplier" dataDxfId="964"/>
    <tableColumn id="2" xr3:uid="{94682200-D006-9B46-9B1A-8D542ECF9932}" name="Space" dataDxfId="963"/>
    <tableColumn id="3" xr3:uid="{7215FEDA-A7D6-6641-B61B-2014DBD5A416}" name="ASHRAE Space Type" dataDxfId="962"/>
    <tableColumn id="4" xr3:uid="{4DFB0380-696B-0047-86A6-F25DB1015FD8}" name="Lit Area (SF)" dataDxfId="961"/>
    <tableColumn id="5" xr3:uid="{3DB93773-BD77-F740-8E8D-EA73AC2020E5}" name="Automatic Controls?" dataDxfId="960"/>
    <tableColumn id="6" xr3:uid="{595FBBAC-F7D3-C542-A3B6-72390AF8F072}" name="Watts/SF" dataDxfId="959">
      <calculatedColumnFormula>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calculatedColumnFormula>
    </tableColumn>
    <tableColumn id="7" xr3:uid="{49202D61-A38A-A348-9465-DA1D3490E1B5}" name="ASHRAE LPD (W/SF)" dataDxfId="958">
      <calculatedColumnFormula>IF(AND($E$43="Building Area Method",Table10e80[[#This Row],[ASHRAE Space Type]]&lt;&gt;""),0.7,
IFERROR(VLOOKUP(Table10e80[[#This Row],[ASHRAE Space Type]],[2]!TableRaterFF68[#Data],2,FALSE),
""))</calculatedColumnFormula>
    </tableColumn>
    <tableColumn id="8" xr3:uid="{4FE37951-D73A-6F4D-9643-E2E50548DD24}" name="A" dataDxfId="957"/>
    <tableColumn id="9" xr3:uid="{2568E7F2-60ED-DF48-AF90-9E7A516D0C15}" name="B" dataDxfId="956"/>
    <tableColumn id="12" xr3:uid="{7AB9CE03-7D54-3F4F-A5C2-57C8A915CDA1}" name="C" dataDxfId="955"/>
    <tableColumn id="13" xr3:uid="{B23DE97B-B8B1-9B45-B596-9D203C86A781}" name="D" dataDxfId="954"/>
    <tableColumn id="10" xr3:uid="{726CD585-2F79-0E42-89E6-0EA4BC6CC04B}" name="E" dataDxfId="953"/>
    <tableColumn id="14" xr3:uid="{CD7EA7A5-20F4-FC45-81FF-7D134FE7DB43}" name="F" dataDxfId="952"/>
    <tableColumn id="17" xr3:uid="{26AECB70-5D58-3243-98EF-A89C806643DA}" name="G" dataDxfId="951"/>
    <tableColumn id="15" xr3:uid="{C2CB941B-913C-5B4C-8C2B-9E6AA80C74DD}" name="H" dataDxfId="950"/>
    <tableColumn id="11" xr3:uid="{0C728D96-3ABF-C242-83D6-B0651190C09B}" name="I" dataDxfId="949"/>
    <tableColumn id="16" xr3:uid="{A2EEEB94-9600-574E-816C-2B9CC0FC9C17}" name="J" dataDxfId="948"/>
    <tableColumn id="18" xr3:uid="{04F249AE-0DB3-5E42-9A92-682688181D98}" name="K" dataDxfId="947"/>
    <tableColumn id="20" xr3:uid="{3440D714-9132-C147-87E6-46D49FE8EA09}" name="L" dataDxfId="946"/>
    <tableColumn id="19" xr3:uid="{196D8B0F-121C-0B44-9A70-5598E23A8F03}" name="M" dataDxfId="945"/>
    <tableColumn id="21" xr3:uid="{42941350-B650-664E-B2CA-3547C1FC2590}" name="N" dataDxfId="944"/>
    <tableColumn id="22" xr3:uid="{9E10C914-71DC-0F4C-992B-FD1416110847}" name="O" dataDxfId="943"/>
    <tableColumn id="23" xr3:uid="{87C093AF-6464-F646-A828-669D1B04A487}" name="P" dataDxfId="942"/>
    <tableColumn id="24" xr3:uid="{3EFC8792-DDAA-2A4F-AF47-C8AC197D994D}" name="Q" dataDxfId="941"/>
    <tableColumn id="25" xr3:uid="{DC91C0F6-9700-D745-A808-028DDB082060}" name="R" dataDxfId="940"/>
    <tableColumn id="26" xr3:uid="{0479B627-747F-E040-8C9C-9E30634CC4A7}" name="S" dataDxfId="939"/>
    <tableColumn id="27" xr3:uid="{6B871A9F-706E-814E-B9BB-7533FFD995E4}" name="T" dataDxfId="938"/>
    <tableColumn id="28" xr3:uid="{79B0012F-1797-0A41-A861-600C50414418}" name="U" dataDxfId="937"/>
    <tableColumn id="29" xr3:uid="{15EB0F6D-968B-B747-9D50-E585AF48ECC5}" name="V" dataDxfId="936"/>
    <tableColumn id="30" xr3:uid="{F840B715-3A45-6046-B009-1197BA7ECDB5}" name="W" dataDxfId="935"/>
    <tableColumn id="31" xr3:uid="{16FD7E2E-B95F-7D41-9A69-E935BEA5EF6E}" name="X" dataDxfId="934"/>
    <tableColumn id="32" xr3:uid="{55F4BB3A-AA0A-5141-95F2-507412F1B2AA}" name="Y" dataDxfId="933"/>
    <tableColumn id="33" xr3:uid="{BD04AF76-3B77-1C4E-B1CA-1D0B43CEA59D}" name="Z" dataDxfId="932"/>
    <tableColumn id="34" xr3:uid="{171FCC5F-FDFF-7A41-A0DD-101416F6BE02}" name="Column14" dataDxfId="931"/>
    <tableColumn id="35" xr3:uid="{E8BAE8C0-96D4-D143-8F67-0CE5493F48D0}" name="Total Fixtures" dataDxfId="930">
      <calculatedColumnFormula>SUM(Table10e80[[#This Row],[A]:[Z]])*Table10e80[[#This Row],[Multiplier]]</calculatedColumnFormula>
    </tableColumn>
    <tableColumn id="36" xr3:uid="{7192683E-2F69-1A47-8717-AC96C235C7D3}" name="Tier1/ES Fixtures" dataDxfId="929">
      <calculatedColumnFormula>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calculatedColumnFormula>
    </tableColumn>
    <tableColumn id="37" xr3:uid="{2D77E26D-B64E-6E49-AC85-0B9913EBFBD7}" name="Lit Area * Multiplier" dataDxfId="928">
      <calculatedColumnFormula>IF((Table10e80[[#This Row],[Multiplier]]*Table10e80[[#This Row],[Lit Area (SF)]])=0,"",(Table10e80[[#This Row],[Multiplier]]*Table10e80[[#This Row],[Lit Area (SF)]]))</calculatedColumnFormula>
    </tableColumn>
    <tableColumn id="38" xr3:uid="{52ACFDD2-C4B9-EB48-8548-51FDEB0B1E8D}" name="ASHRAE W" dataDxfId="927">
      <calculatedColumnFormula>IFERROR((Table10e80[[#This Row],[ASHRAE LPD (W/SF)]]*Table10e80[[#This Row],[Lit Area (SF)]]*Table10e80[[#This Row],[Multiplier]]),"")</calculatedColumnFormula>
    </tableColumn>
    <tableColumn id="39" xr3:uid="{67328FB5-2908-014A-B263-6598746993D9}" name="Installed Watts" dataDxfId="926">
      <calculatedColumnFormula>IFERROR((Table10e80[[#This Row],[Watts/SF]]*Table10e80[[#This Row],[Lit Area (SF)]]*Table10e80[[#This Row],[Multiplier]]),"")</calculatedColumnFormula>
    </tableColumn>
    <tableColumn id="40" xr3:uid="{1D1DA89C-1D11-4D48-B0B6-D3CBF23CACB6}" name="PASS/FAIL" dataDxfId="925">
      <calculatedColumnFormula>IF(Table10e80[[#This Row],[Installed Watts]]="","",
IF(Table10e80[[#This Row],[Installed Watts]]&lt;=Table10e80[[#This Row],[ASHRAE W]],"PASS","FAIL"))</calculatedColumnFormula>
    </tableColumn>
    <tableColumn id="41" xr3:uid="{D458FFE9-5490-454D-9B66-19A9AFBA75B9}" name="30%ASHRAE calc" dataDxfId="924">
      <calculatedColumnFormula>IF(Table10e80[[#This Row],[ASHRAE LPD (W/SF)]]="","",0.7*Table10e80[[#This Row],[ASHRAE LPD (W/SF)]])</calculatedColumnFormula>
    </tableColumn>
    <tableColumn id="42" xr3:uid="{99ED591D-223E-DC44-9D96-BCA3AAE57A62}" name="ASHRAE LPD P/F" dataDxfId="923">
      <calculatedColumnFormula>IF(Table10e80[[#This Row],[Watts/SF]]&lt;(0.7*Table10e80[[#This Row],[ASHRAE LPD (W/SF)]]),"FAIL","PASS")</calculatedColumnFormula>
    </tableColumn>
  </tableColumns>
  <tableStyleInfo name="TableStyleLight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8CADDA5-F349-7943-BAD0-53C493D02531}" name="Table10d122" displayName="Table10d122" ref="B66:AO67" totalsRowShown="0" headerRowDxfId="922" dataDxfId="921" tableBorderDxfId="920">
  <autoFilter ref="B66:AO67" xr:uid="{00000000-0009-0000-0100-00005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autoFilter>
  <tableColumns count="40">
    <tableColumn id="1" xr3:uid="{7605BAA0-0777-4546-B223-7B76EEAA09D8}" name="Multiplier" dataDxfId="919"/>
    <tableColumn id="2" xr3:uid="{5E8626BB-896F-984B-8B27-094E6EE8A790}" name="Space" dataDxfId="918"/>
    <tableColumn id="3" xr3:uid="{876C0909-77C1-344E-9192-D8AB26C9CC33}" name="ASHRAE Space Type" dataDxfId="917"/>
    <tableColumn id="4" xr3:uid="{856710C7-FC0C-224F-A1CC-782C2885DF77}" name="Lit Area (SF)" dataDxfId="916"/>
    <tableColumn id="5" xr3:uid="{4D01451C-8962-A240-A0D8-160222C38509}" name="Automatic Controls?" dataDxfId="915"/>
    <tableColumn id="6" xr3:uid="{BBB77968-D1DF-4443-9A4A-1598944B31A4}" name="Watts/SF" dataDxfId="914">
      <calculatedColumnFormula>IFERROR(SUMPRODUCT($I$62:$AH$62,Table10d122[[#This Row],[A]:[Z]])/Table10d122[[#This Row],[Lit Area (SF)]],"")</calculatedColumnFormula>
    </tableColumn>
    <tableColumn id="7" xr3:uid="{CEDA89D3-0C52-944D-B1FE-D0FA39820BA7}" name="MFNC LPD (W/SF)" dataDxfId="913"/>
    <tableColumn id="8" xr3:uid="{EFFEBCE4-5976-1A4D-99B4-D7A6F1EE19EC}" name="A" dataDxfId="912"/>
    <tableColumn id="9" xr3:uid="{BAB4DBBF-10C7-AD4F-B405-2121284611C3}" name="B" dataDxfId="911"/>
    <tableColumn id="12" xr3:uid="{77DF1708-EA1D-5044-BDE1-3BD73A5C4A79}" name="C" dataDxfId="910"/>
    <tableColumn id="13" xr3:uid="{F0DE3AA0-DD14-DA42-B810-70BF865D2269}" name="D" dataDxfId="909"/>
    <tableColumn id="10" xr3:uid="{E99CA0BB-DEB2-AA40-9DC9-18D922E9F751}" name="E" dataDxfId="908"/>
    <tableColumn id="14" xr3:uid="{69DE6CED-6304-5B41-A2ED-56C48CE10C76}" name="F" dataDxfId="907"/>
    <tableColumn id="15" xr3:uid="{AFA4F5DF-BF28-8A46-B5D5-4629EB6D4EFE}" name="G" dataDxfId="906"/>
    <tableColumn id="11" xr3:uid="{BCBA841C-5E0F-744B-A772-F35EE6156567}" name="H" dataDxfId="905"/>
    <tableColumn id="16" xr3:uid="{C7E82B1E-8EFC-D141-944B-F0C16E3B23FC}" name="I" dataDxfId="904"/>
    <tableColumn id="17" xr3:uid="{BA78D252-4A3A-4B4E-88B6-F655578A16FD}" name="J" dataDxfId="903"/>
    <tableColumn id="18" xr3:uid="{F778E066-666E-7940-8E4D-09C691F700C2}" name="K" dataDxfId="902"/>
    <tableColumn id="19" xr3:uid="{297A8841-F45F-5249-B297-74C71DF1A889}" name="L" dataDxfId="901"/>
    <tableColumn id="20" xr3:uid="{6AEFDF02-164B-114A-B349-2E76D90E8EF0}" name="M" dataDxfId="900"/>
    <tableColumn id="21" xr3:uid="{E8AE3093-5E9B-B342-A021-B139325DC701}" name="N" dataDxfId="899"/>
    <tableColumn id="22" xr3:uid="{1A98E96D-D83B-004D-BE5B-E940F06F7C80}" name="O" dataDxfId="898"/>
    <tableColumn id="23" xr3:uid="{B0A5EB4F-9B07-8F48-9498-BCB2C3E8F6AA}" name="P" dataDxfId="897"/>
    <tableColumn id="24" xr3:uid="{2C35D6FD-8996-EB41-8F2D-A6E03581D88C}" name="Q" dataDxfId="896"/>
    <tableColumn id="25" xr3:uid="{0EF4C1E0-6FD8-6F46-ACC8-A871B95CD5D9}" name="R" dataDxfId="895"/>
    <tableColumn id="26" xr3:uid="{9F5C18C6-4E65-444C-90ED-6DFEE734302B}" name="S" dataDxfId="894"/>
    <tableColumn id="27" xr3:uid="{5F2B63FF-9766-5C42-A68F-6A2E64DE4DD6}" name="T" dataDxfId="893"/>
    <tableColumn id="28" xr3:uid="{8315A8DE-CF31-734B-B3D1-62E0CB93195C}" name="U" dataDxfId="892"/>
    <tableColumn id="29" xr3:uid="{CBD4C58E-B54C-FA48-BA73-51569BBB0C34}" name="V" dataDxfId="891"/>
    <tableColumn id="30" xr3:uid="{4DFEF9B4-CEBD-1741-9090-CA856C3A3CFD}" name="W" dataDxfId="890"/>
    <tableColumn id="31" xr3:uid="{65F608DE-B08F-0C4D-BC91-AA1BFCBA60FC}" name="X" dataDxfId="889"/>
    <tableColumn id="32" xr3:uid="{44D0A4D6-57E7-944C-B660-1DCF33434B6F}" name="Y" dataDxfId="888"/>
    <tableColumn id="33" xr3:uid="{8A4A786E-C514-D747-9686-B410E889EAC0}" name="Z" dataDxfId="887"/>
    <tableColumn id="34" xr3:uid="{80F3CDE6-AA6F-A64C-B9E0-54C3E6B8C2CB}" name="Column17" dataDxfId="886"/>
    <tableColumn id="35" xr3:uid="{1DAB5031-2BBE-9E4C-939F-A091CACDAB07}" name="Total Fixtures" dataDxfId="885">
      <calculatedColumnFormula>SUM(Table10d122[[#This Row],[A]:[Z]])*Table10d122[[#This Row],[Multiplier]]</calculatedColumnFormula>
    </tableColumn>
    <tableColumn id="36" xr3:uid="{6DA9C829-2038-954A-A3CD-270677861995}" name="Tier1/ES Fixtures" dataDxfId="884">
      <calculatedColumnFormula>SUM(IF(OR($I$63="Tier I",$I$63="Tier II",$I$63="ES"),Table10d122[[#This Row],[A]]*Table10d122[[#This Row],[Multiplier]],0),
IF(OR($J$63="Tier I",$J$63="Tier II",$J$63="ES"),Table10d122[[#This Row],[B]]*Table10d122[[#This Row],[Multiplier]],0),
IF(OR($K$63="Tier I",$K$63="Tier II",$K$63="ES"),Table10d122[[#This Row],[C]]*Table10d122[[#This Row],[Multiplier]],0),
IF(OR($L$63="Tier I",$L$63="Tier II",$L$63="ES"),Table10d122[[#This Row],[D]]*Table10d122[[#This Row],[Multiplier]],0),
IF(OR($M$63="Tier I",$M$63="Tier II",$M$63="ES"),Table10d122[[#This Row],[E]]*Table10d122[[#This Row],[Multiplier]],0),
IF(OR($N$63="Tier I",$N$63="Tier II",$N$63="ES"),Table10d122[[#This Row],[F]]*Table10d122[[#This Row],[Multiplier]],0),
IF(OR($O$63="Tier I",$O$63="Tier II",$O$63="ES"),Table10d122[[#This Row],[G]]*Table10d122[[#This Row],[Multiplier]],0),
IF(OR($P$63="Tier I",$P$63="Tier II",$P$63="ES"),Table10d122[[#This Row],[H]]*Table10d122[[#This Row],[Multiplier]],0),
IF(OR($Q$63="Tier I",$Q$63="Tier II",$Q$63="ES"),Table10d122[[#This Row],[I]]*Table10d122[[#This Row],[Multiplier]],0),
IF(OR($R$63="Tier I",$R$63="Tier II",$R$63="ES"),Table10d122[[#This Row],[J]]*Table10d122[[#This Row],[Multiplier]],0),
IF(OR($S$63="Tier I",$S$63="Tier II",$S$63="ES"),Table10d122[[#This Row],[K]]*Table10d122[[#This Row],[Multiplier]],0),
IF(OR($T$63="Tier I",$T$63="Tier II",$T$63="ES"),Table10d122[[#This Row],[L]]*Table10d122[[#This Row],[Multiplier]],0),
IF(OR($U$63="Tier I",$U$63="Tier II",$U$63="ES"),Table10d122[[#This Row],[M]]*Table10d122[[#This Row],[Multiplier]],0),
IF(OR($V$63="Tier I",$V$63="Tier II",$V$63="ES"),Table10d122[[#This Row],[N]]*Table10d122[[#This Row],[Multiplier]],0),
IF(OR($W$63="Tier I",$W$63="Tier II",$W$63="ES"),Table10d122[[#This Row],[O]]*Table10d122[[#This Row],[Multiplier]],0),
IF(OR($X$63="Tier I",$X$63="Tier II",$X$63="ES"),Table10d122[[#This Row],[P]]*Table10d122[[#This Row],[Multiplier]],0),
IF(OR($Y$63="Tier I",$Y$63="Tier II",$Y$63="ES"),Table10d122[[#This Row],[Q]]*Table10d122[[#This Row],[Multiplier]],0),
IF(OR($Z$63="Tier I",$Z$63="Tier II",$Z$63="ES"),Table10d122[[#This Row],[R]]*Table10d122[[#This Row],[Multiplier]],0),
IF(OR($AA$63="Tier I",$AA$63="Tier II",$AA$63="ES"),Table10d122[[#This Row],[S]]*Table10d122[[#This Row],[Multiplier]],0),
IF(OR($AB$63="Tier I",$AB$63="Tier II",$AB$63="ES"),Table10d122[[#This Row],[T]]*Table10d122[[#This Row],[Multiplier]],0),
IF(OR($AC$63="Tier I",$AC$63="Tier II",$AC$63="ES"),Table10d122[[#This Row],[U]]*Table10d122[[#This Row],[Multiplier]],0),
IF(OR($AD$63="Tier I",$AD$63="Tier II",$AD$63="ES"),Table10d122[[#This Row],[V]]*Table10d122[[#This Row],[Multiplier]],0),
IF(OR($AE$63="Tier I",$AE$63="Tier II",$AE$63="ES"),Table10d122[[#This Row],[W]]*Table10d122[[#This Row],[Multiplier]],0),
IF(OR($AF$63="Tier I",$AF$63="Tier II",$AF$63="ES"),Table10d122[[#This Row],[X]]*Table10d122[[#This Row],[Multiplier]],0),
IF(OR($AG$63="Tier I",$AG$63="Tier II",$AG$63="ES"),Table10d122[[#This Row],[Y]]*Table10d122[[#This Row],[Multiplier]],0),
IF(OR($AH$63="Tier I",$AH$63="Tier II",$AH$63="ES"),Table10d122[[#This Row],[Z]]*Table10d122[[#This Row],[Multiplier]],0))</calculatedColumnFormula>
    </tableColumn>
    <tableColumn id="37" xr3:uid="{CB100CDA-56A3-084A-A395-AB85161BAD69}" name="ASHRAE W" dataDxfId="883">
      <calculatedColumnFormula>IFERROR(Table10d122[[#This Row],[MFNC LPD (W/SF)]]*Table10d122[[#This Row],[Lit Area (SF)]]*Table10d122[[#This Row],[Multiplier]],"")</calculatedColumnFormula>
    </tableColumn>
    <tableColumn id="38" xr3:uid="{4FD86A82-CE4D-994A-B270-F23F68A31BA8}" name="Installed Watts" dataDxfId="882">
      <calculatedColumnFormula>IFERROR(Table10d122[[#This Row],[Watts/SF]]*Table10d122[[#This Row],[Lit Area (SF)]]*Table10d122[[#This Row],[Multiplier]],"")</calculatedColumnFormula>
    </tableColumn>
    <tableColumn id="39" xr3:uid="{E783BBE0-23BB-9448-988C-2A6FAFEF84B8}" name="Column1" dataDxfId="881">
      <calculatedColumnFormula>IF(Table10d122[[#This Row],[ASHRAE W]]&lt;=Table10d122[[#This Row],[MFNC LPD (W/SF)]],"PASS",IF(Table10d122[[#This Row],[ASHRAE W]]="","","FAIL"))</calculatedColumnFormula>
    </tableColumn>
    <tableColumn id="40" xr3:uid="{14C06C1C-61D9-5841-B08C-D8070CBA2515}" name="PASS/FAIL" dataDxfId="880">
      <calculatedColumnFormula>IF(Table10d122[[#This Row],[Installed Watts]]&lt;=Table10d122[[#This Row],[ASHRAE W]],"PASS",IF(Table10d122[[#This Row],[Installed Watts]]="","","FAIL"))</calculatedColumnFormula>
    </tableColumn>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3A29F7C-130C-1F4E-A2C7-1713625C3746}" name="Table10bCommonEx123" displayName="Table10bCommonEx123" ref="G76:AK79" totalsRowShown="0" headerRowDxfId="879" dataDxfId="877" headerRowBorderDxfId="878" tableBorderDxfId="876">
  <autoFilter ref="G76:AK79" xr:uid="{00000000-0009-0000-0100-00007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804B3D58-2C5F-BD4F-9C87-471608D6083F}" name="Space" dataDxfId="875"/>
    <tableColumn id="7" xr3:uid="{5C366F0D-B359-664F-8A7D-9B1AE6EA481F}" name="Automatic Controls?" dataDxfId="874"/>
    <tableColumn id="8" xr3:uid="{27D216AF-C39E-A547-915C-4BF905ED00B4}" name="A" dataDxfId="873"/>
    <tableColumn id="9" xr3:uid="{9EAFC8B4-A59F-A542-B97B-81BCEE8D9BDA}" name="B" dataDxfId="872"/>
    <tableColumn id="12" xr3:uid="{DC54611A-A5EA-6349-B137-7B59737957A7}" name="C" dataDxfId="871"/>
    <tableColumn id="13" xr3:uid="{6836F97F-F92F-0045-AD01-264F754577F9}" name="D" dataDxfId="870"/>
    <tableColumn id="10" xr3:uid="{33829FB2-F483-304F-9967-42006BF75690}" name="E" dataDxfId="869"/>
    <tableColumn id="2" xr3:uid="{AD7B2D17-9A00-F143-B899-AA69A5597916}" name="F" dataDxfId="868"/>
    <tableColumn id="3" xr3:uid="{3CBA8919-0A8B-DE43-98C4-82EEF2B8D789}" name="G" dataDxfId="867"/>
    <tableColumn id="4" xr3:uid="{E30E1167-E39E-234F-944F-A0B2376DA7F6}" name="H" dataDxfId="866"/>
    <tableColumn id="5" xr3:uid="{501B2279-2A10-8042-A744-506A56A4AAA9}" name="I" dataDxfId="865"/>
    <tableColumn id="6" xr3:uid="{85F844D1-4C9E-254C-96B3-8C2C75CF8586}" name="J" dataDxfId="864"/>
    <tableColumn id="11" xr3:uid="{B120B92D-37C7-B947-8071-72D77735C5C1}" name="K" dataDxfId="863"/>
    <tableColumn id="14" xr3:uid="{3DEC3F99-8357-C54B-B6A5-3DBF6EAB5B51}" name="L" dataDxfId="862"/>
    <tableColumn id="15" xr3:uid="{3C4F958E-9F9F-3B40-B576-7587C200C78A}" name="M" dataDxfId="861"/>
    <tableColumn id="16" xr3:uid="{2176D52E-0176-8945-B1E1-24226A5ADA1E}" name="N" dataDxfId="860"/>
    <tableColumn id="17" xr3:uid="{348F9AC4-458A-E048-BD0A-E908E188F956}" name="O" dataDxfId="859"/>
    <tableColumn id="18" xr3:uid="{1BE866EE-BA25-8241-A3B1-B2423731BD4A}" name="P" dataDxfId="858"/>
    <tableColumn id="19" xr3:uid="{B6F14786-1901-4240-BBC3-2B643450F305}" name="Q" dataDxfId="857"/>
    <tableColumn id="20" xr3:uid="{3F564B85-D00F-5544-AE1F-519CA350AF5A}" name="R" dataDxfId="856"/>
    <tableColumn id="21" xr3:uid="{13A3D280-3273-1D45-B187-34F01FD9789E}" name="S" dataDxfId="855"/>
    <tableColumn id="22" xr3:uid="{A055842C-4E8C-EB42-A2ED-2B5A2B089847}" name="T" dataDxfId="854"/>
    <tableColumn id="23" xr3:uid="{BE96B683-9A74-EF4F-9860-C6FA717A6886}" name="U" dataDxfId="853"/>
    <tableColumn id="24" xr3:uid="{AED7D317-4AAE-144F-88C6-950FCF224F6E}" name="V" dataDxfId="852"/>
    <tableColumn id="25" xr3:uid="{F9CE82FF-B675-BB44-A79F-5DF5535E46C0}" name="W" dataDxfId="851"/>
    <tableColumn id="26" xr3:uid="{1DA3D751-A8EE-6547-8385-AE80973DBCCC}" name="X" dataDxfId="850"/>
    <tableColumn id="27" xr3:uid="{40B9958E-04AC-824B-B095-21694A1A686A}" name="Y" dataDxfId="849"/>
    <tableColumn id="28" xr3:uid="{5B3D5087-8469-0B4D-84B2-366B8D949FB8}" name="Z" dataDxfId="848"/>
    <tableColumn id="29" xr3:uid="{309C7946-4C89-9A48-9272-C19EA370928A}" name="Column20" dataDxfId="847"/>
    <tableColumn id="30" xr3:uid="{3C707B0D-9C61-2E47-BE78-0254F9BF8999}" name="Total Fixtures" dataDxfId="846">
      <calculatedColumnFormula>SUM(Table10bCommonEx123[[#This Row],[A]:[Z]])</calculatedColumnFormula>
    </tableColumn>
    <tableColumn id="31" xr3:uid="{54134868-DC4C-914C-A1C2-E44D13676B48}" name="TierI/TierII/ES Fixtures" dataDxfId="845">
      <calculatedColumnFormula>SUM(IF(OR($I$73="Tier I",$I$73="Tier II",$I$73="ES"),Table10bCommonEx123[[#This Row],[A]],0),
IF(OR($J$73="Tier I",$J$73="Tier II",$J$73="ES"),Table10bCommonEx123[[#This Row],[B]],0),
IF(OR($K$73="Tier I",$K$73="Tier II",$K$73="ES"),Table10bCommonEx123[[#This Row],[C]],0),
IF(OR($L$73="Tier I",$L$73="Tier II",$L$73="ES"),Table10bCommonEx123[[#This Row],[D]],0),
IF(OR($M$73="Tier I",$M$73="Tier II",$M$73="ES"),Table10bCommonEx123[[#This Row],[E]],0),
IF(OR($N$73="Tier I",$N$73="Tier II",$N$73="ES"),Table10bCommonEx123[[#This Row],[F]],0),
IF(OR($O$73="Tier I",$O$73="Tier II",$O$73="ES"),Table10bCommonEx123[[#This Row],[G]],0),
IF(OR($P$73="Tier I",$P$73="Tier II",$P$73="ES"),Table10bCommonEx123[[#This Row],[H]],0),
IF(OR($Q$73="Tier I",$Q$73="Tier II",$Q$73="ES"),Table10bCommonEx123[[#This Row],[I]],0),
IF(OR($R$73="Tier I",$R$73="Tier II",$R$73="ES"),Table10bCommonEx123[[#This Row],[J]],0),
IF(OR($S$73="Tier I",$S$73="Tier II",$S$73="ES"),Table10bCommonEx123[[#This Row],[K]],0),
IF(OR($T$73="Tier I",$T$73="Tier II",$T$73="ES"),Table10bCommonEx123[[#This Row],[L]],0),
IF(OR($U$73="Tier I",$U$73="Tier II",$U$73="ES"),Table10bCommonEx123[[#This Row],[M]],0),
IF(OR($V$73="Tier I",$V$73="Tier II",$V$73="ES"),Table10bCommonEx123[[#This Row],[N]],0),
IF(OR($W$73="Tier I",$W$73="Tier II",$W$73="ES"),Table10bCommonEx123[[#This Row],[O]],0),
IF(OR($X$73="Tier I",$X$73="Tier II",$X$73="ES"),Table10bCommonEx123[[#This Row],[P]],0),
IF(OR($Y$73="Tier I",$Y$73="Tier II",$Y$73="ES"),Table10bCommonEx123[[#This Row],[Q]],0),
IF(OR($Z$73="Tier I",$Z$73="Tier II",$Z$73="ES"),Table10bCommonEx123[[#This Row],[R]],0),
IF(OR($AA$73="Tier I",$AA$73="Tier II",$AA$73="ES"),Table10bCommonEx123[[#This Row],[S]],0),
IF(OR($AB$73="Tier I",$AB$73="Tier II",$AB$73="ES"),Table10bCommonEx123[[#This Row],[T]],0),
IF(OR($AC$73="Tier I",$AC$73="Tier II",$AC$73="ES"),Table10bCommonEx123[[#This Row],[U]],0),
IF(OR($AD$73="Tier I",$AD$73="Tier II",$AD$73="ES"),Table10bCommonEx123[[#This Row],[V]],0),
IF(OR($AE$73="Tier I",$AE$73="Tier II",$AE$73="ES"),Table10bCommonEx123[[#This Row],[W]],0),
IF(OR($AF$73="Tier I",$AF$73="Tier II",$AF$73="ES"),Table10bCommonEx123[[#This Row],[X]],0),
IF(OR($AG$73="Tier I",$AG$73="Tier II",$AG$73="ES"),Table10bCommonEx123[[#This Row],[Y]],0),
IF(OR($AH$73="Tier I",$AH$73="Tier II",$AH$73="ES"),Table10bCommonEx123[[#This Row],[Z]],0))</calculatedColumnFormula>
    </tableColumn>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4FC06B1-6544-4341-8F60-288F6259F8F6}" name="Table10aCommonEx124" displayName="Table10aCommonEx124" ref="H72:AH73" totalsRowShown="0" headerRowDxfId="844" dataDxfId="842" headerRowBorderDxfId="843" tableBorderDxfId="841" totalsRowBorderDxfId="840">
  <autoFilter ref="H72:AH73" xr:uid="{00000000-0009-0000-0100-00007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4" xr3:uid="{6D512474-00F0-C04C-9ABD-D4629FC4D239}" name="Fixture Label" dataDxfId="839"/>
    <tableColumn id="5" xr3:uid="{0376BB35-9ACD-4C48-8B1C-A5EDB875253A}" name="A" dataDxfId="838"/>
    <tableColumn id="6" xr3:uid="{066F32DB-5B3E-4242-A16A-9A3876C9D760}" name="B" dataDxfId="837"/>
    <tableColumn id="1" xr3:uid="{B92F9C86-393A-0944-8770-02759D637FBA}" name="C" dataDxfId="836"/>
    <tableColumn id="2" xr3:uid="{823FFD60-0412-614C-A1AF-6030C5629EA7}" name="D" dataDxfId="835"/>
    <tableColumn id="3" xr3:uid="{B8FAB26B-3671-9B4D-AB34-F21535D6195F}" name="E" dataDxfId="834"/>
    <tableColumn id="7" xr3:uid="{8DC0BF90-920E-AA4F-ADAB-FEC315330076}" name="F" dataDxfId="833"/>
    <tableColumn id="8" xr3:uid="{6664FD4F-292D-8B43-BA62-A63978543147}" name="G" dataDxfId="832"/>
    <tableColumn id="9" xr3:uid="{EFAE40DD-8AFC-C34C-84D0-ACD6FE24650A}" name="H" dataDxfId="831"/>
    <tableColumn id="10" xr3:uid="{43E265E6-5157-AF44-A881-F1CD25166573}" name="I" dataDxfId="830"/>
    <tableColumn id="11" xr3:uid="{1AB806DA-D6B0-1D4D-B922-A47582716266}" name="J" dataDxfId="829"/>
    <tableColumn id="12" xr3:uid="{FA39ADEE-134B-7C49-9324-D72B9F4488A3}" name="K" dataDxfId="828"/>
    <tableColumn id="13" xr3:uid="{5A8471E8-5516-7540-81C1-4A4D5234B260}" name="L" dataDxfId="827"/>
    <tableColumn id="14" xr3:uid="{A2E5BEBB-F123-A841-BF4B-D839762B6F9E}" name="M" dataDxfId="826"/>
    <tableColumn id="15" xr3:uid="{F27CF4AE-280E-004E-916D-D1F53B11614B}" name="N" dataDxfId="825"/>
    <tableColumn id="16" xr3:uid="{9E0E714F-2393-7245-AB3A-3C9CF6A1E87D}" name="O" dataDxfId="824"/>
    <tableColumn id="17" xr3:uid="{CD380187-9FE1-0E49-8846-AE68A81D8385}" name="P" dataDxfId="823"/>
    <tableColumn id="18" xr3:uid="{DF76AB1A-9DFC-FC42-82C3-3902F6E5C974}" name="Q" dataDxfId="822"/>
    <tableColumn id="19" xr3:uid="{C30CC6CF-82AA-C147-B43D-6871AF59A9B5}" name="R" dataDxfId="821"/>
    <tableColumn id="20" xr3:uid="{A83FC0A9-951A-D54A-8D09-13F28F863902}" name="S" dataDxfId="820"/>
    <tableColumn id="21" xr3:uid="{638FCCF1-7D5C-4D46-A27D-44765BE4471D}" name="T" dataDxfId="819"/>
    <tableColumn id="22" xr3:uid="{07EDFF36-3528-0241-945E-60ACDD7642B8}" name="U" dataDxfId="818"/>
    <tableColumn id="23" xr3:uid="{AE0FBD6B-D9DD-9841-8B86-DAACFCFC91A5}" name="V" dataDxfId="817"/>
    <tableColumn id="24" xr3:uid="{FE4F8E95-E595-DC4A-8F2A-E0118D10AD77}" name="W" dataDxfId="816"/>
    <tableColumn id="25" xr3:uid="{CA87DBFB-ACF3-6849-AE64-38B77F420E9C}" name="X" dataDxfId="815"/>
    <tableColumn id="26" xr3:uid="{81A0DC73-E907-EC42-9472-2483DC2A8E52}" name="Y" dataDxfId="814"/>
    <tableColumn id="27" xr3:uid="{DFED1868-A800-BC48-AFF1-084F7049FADF}" name="Z" dataDxfId="813"/>
  </tableColumns>
  <tableStyleInfo name="TableStyleLight4" showFirstColumn="1" showLastColumn="0" showRowStripes="0" showColumnStripes="1"/>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D9AE6BF-AA73-5149-A2AB-DE3806FF0BE2}" name="Table10c20126" displayName="Table10c20126" ref="H61:AH63" totalsRowShown="0" headerRowDxfId="812" dataDxfId="810" headerRowBorderDxfId="811" tableBorderDxfId="809" totalsRowBorderDxfId="808">
  <autoFilter ref="H61:AH63" xr:uid="{8962B127-2D7E-4341-959F-4E64AA4E56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2" xr3:uid="{7B73FBF6-DE89-3C43-99C5-76DCB49A9A61}" name="Fixture Label" dataDxfId="807"/>
    <tableColumn id="3" xr3:uid="{F9978958-49C8-F145-9970-30D0BFA80E35}" name="A" dataDxfId="806"/>
    <tableColumn id="4" xr3:uid="{5F665D2C-5C25-F64D-AA52-ABF04B8FB3AB}" name="B" dataDxfId="805"/>
    <tableColumn id="5" xr3:uid="{36BD156D-6B62-2A4B-8FAC-9E5CB313FAF4}" name="C" dataDxfId="804"/>
    <tableColumn id="6" xr3:uid="{E5376F39-7534-9E46-97A7-B074E93A4DAB}" name="D" dataDxfId="803"/>
    <tableColumn id="1" xr3:uid="{A04390C8-9C8C-8547-B48F-54BE8438E86B}" name="E" dataDxfId="802"/>
    <tableColumn id="7" xr3:uid="{CA39AB8B-E84F-854A-8D1C-B32AEE6B1979}" name="F" dataDxfId="801"/>
    <tableColumn id="8" xr3:uid="{DC7EA63D-E61D-A340-866F-76E2D1FB8888}" name="G" dataDxfId="800"/>
    <tableColumn id="9" xr3:uid="{682F8D75-AD56-0949-8DA5-4671B79B1E59}" name="H" dataDxfId="799"/>
    <tableColumn id="10" xr3:uid="{8E9240C3-A319-8B45-BD4F-B1D536B1F7E3}" name="I" dataDxfId="798"/>
    <tableColumn id="11" xr3:uid="{74B72240-4963-9946-919D-905055A9FE37}" name="J" dataDxfId="797"/>
    <tableColumn id="12" xr3:uid="{A378A8CF-E1B9-F74E-9F87-CA59633AECD1}" name="K" dataDxfId="796"/>
    <tableColumn id="13" xr3:uid="{C022BB22-2A78-2844-8A05-4FFF6B69CC90}" name="L" dataDxfId="795"/>
    <tableColumn id="14" xr3:uid="{1A6FA7E0-A070-014B-BCED-4C9D20888146}" name="M" dataDxfId="794"/>
    <tableColumn id="15" xr3:uid="{A2A4A6A0-750E-E947-95FD-FF55AD1312CB}" name="N" dataDxfId="793"/>
    <tableColumn id="16" xr3:uid="{F48C9696-1258-BD4F-939D-1CA6FD2CC2F6}" name="O" dataDxfId="792"/>
    <tableColumn id="17" xr3:uid="{7A6CC3BA-421F-A24A-A558-3F1AD85C5AAE}" name="P" dataDxfId="791"/>
    <tableColumn id="18" xr3:uid="{8E8629A4-DFB5-DB46-8CF2-AFA6042DD5BD}" name="Q" dataDxfId="790"/>
    <tableColumn id="19" xr3:uid="{793885D8-DA1F-B04F-9777-46B5BC01AE67}" name="R" dataDxfId="789"/>
    <tableColumn id="20" xr3:uid="{F8FBFFCA-6665-BC48-BC76-F1CE3233AA6B}" name="S" dataDxfId="788"/>
    <tableColumn id="21" xr3:uid="{4770424F-F3E7-E04B-9248-E6F9E7DFFC62}" name="T" dataDxfId="787"/>
    <tableColumn id="22" xr3:uid="{32696DC5-4AD9-0441-9B6A-793771863235}" name="U" dataDxfId="786"/>
    <tableColumn id="23" xr3:uid="{46FF671E-2724-E946-A5CB-E88F164D3D49}" name="V" dataDxfId="785"/>
    <tableColumn id="24" xr3:uid="{9D351A12-DBC6-A14C-BA82-2865F2843BA9}" name="W" dataDxfId="784"/>
    <tableColumn id="25" xr3:uid="{E6D68E70-448C-F242-90BA-04118A4D1FDE}" name="X" dataDxfId="783"/>
    <tableColumn id="26" xr3:uid="{0D158A6A-7B5D-3E42-B6FF-3B12178BBD76}" name="Y" dataDxfId="782"/>
    <tableColumn id="27" xr3:uid="{D113C740-F18E-C74F-B442-2EB21F15ACA8}" name="Z" dataDxfId="781"/>
  </tableColumns>
  <tableStyleInfo name="TableStyleLight4" showFirstColumn="1" showLastColumn="0" showRowStripes="0" showColumnStripes="1"/>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EDA457C-EFDD-FC4E-B45A-87C7EF35A255}" name="Table12c" displayName="Table12c" ref="B18:O21" totalsRowShown="0" headerRowDxfId="776" dataDxfId="774" headerRowBorderDxfId="775" tableBorderDxfId="773" totalsRowBorderDxfId="772">
  <autoFilter ref="B18:O2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BF4455A-D0F6-4E4E-A1FC-DBFCC4EEF808}" name="ID" dataDxfId="771"/>
    <tableColumn id="2" xr3:uid="{4115B073-D148-2A44-B2CA-3F60ACE777EC}" name="DESCRIPTION" dataDxfId="770"/>
    <tableColumn id="3" xr3:uid="{C5CC92F2-2F46-474D-BF45-9110902158BB}" name="PURPOSE" dataDxfId="769"/>
    <tableColumn id="4" xr3:uid="{9C80548D-0A37-EA43-A998-310D20512AAC}" name="MFR" dataDxfId="768"/>
    <tableColumn id="5" xr3:uid="{EF229FD2-071A-A047-A8F1-747D8F798E05}" name="MODEL #" dataDxfId="767"/>
    <tableColumn id="6" xr3:uid="{6426BB5C-957D-274A-9C21-1EB912B90F1F}" name="Greater than 1 HP?" dataDxfId="766"/>
    <tableColumn id="7" xr3:uid="{B3D7723C-1ED1-2845-A554-793B0D8B81D1}" name="NEMA PREMIUM?" dataDxfId="765"/>
    <tableColumn id="8" xr3:uid="{E7395495-59D6-364C-BADF-D3BC03AE051C}" name="ECM?" dataDxfId="764"/>
    <tableColumn id="9" xr3:uid="{A4F3AB9A-119B-3546-92AD-1363A9833FE4}" name="DIRECT-DRIVE?" dataDxfId="763"/>
    <tableColumn id="10" xr3:uid="{6F304784-2EA6-8F49-BB5F-C2C0AB40C1BD}" name="VARIABLE SPEED CONTROLLERS" dataDxfId="762"/>
    <tableColumn id="11" xr3:uid="{FCB3CBD4-F874-5445-9F4D-FCE53D4036F8}" name="LOCATION_x000a_(dwg / spec)" dataDxfId="761"/>
    <tableColumn id="12" xr3:uid="{EAB538D9-3B32-CC4E-AA69-CEE116BECEDC}" name="PLAN REVIEW" dataDxfId="760"/>
    <tableColumn id="13" xr3:uid="{ECB15DC6-50C1-BB4B-BB35-26905FB24D7C}" name="INSPECTION" dataDxfId="759"/>
    <tableColumn id="14" xr3:uid="{368C0517-F8C2-CE41-A62C-E7BDE8482AA5}" name="INSPECTION COMMENTS _x000a_(Problems, sample details/apt #s, etc.)" dataDxfId="758"/>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FAC842F-BCA3-F747-8C20-7B4D61EF0BA8}" name="Table14" displayName="Table14" ref="B8:O11" totalsRowShown="0" headerRowDxfId="757" tableBorderDxfId="756">
  <autoFilter ref="B8:O11" xr:uid="{091DB169-B8A3-4BB9-A712-4A53524D54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875E1F-2C01-1541-932C-429ADCDF8ADF}" name="ID" dataDxfId="755"/>
    <tableColumn id="2" xr3:uid="{80B42A3A-782B-874C-A83A-9C44A5497175}" name="DESCRIPTION_x000a_(bath exhaust, range hood, inline fan, balanced, other)" dataDxfId="754"/>
    <tableColumn id="3" xr3:uid="{51723FE0-DE16-3041-8F77-B876E4925D73}" name="PURPOSE" dataDxfId="753"/>
    <tableColumn id="4" xr3:uid="{0B3893F1-3FEC-1B44-979F-1DD12949730C}" name="CONTINUOUS/ INTERMITTENT" dataDxfId="752"/>
    <tableColumn id="5" xr3:uid="{2BFE1DCA-271F-484A-A5C9-C26A5295DFD1}" name="MFR" dataDxfId="751"/>
    <tableColumn id="6" xr3:uid="{AA8D79EB-7F21-2849-B06C-AB049604D68C}" name="MODEL #" dataDxfId="750"/>
    <tableColumn id="7" xr3:uid="{04D4B224-15F4-684B-898C-2324752659A3}" name="Sones (7.5, 8.2)" dataDxfId="749"/>
    <tableColumn id="8" xr3:uid="{174D0BEC-2F32-184A-8F7D-760C9111FD18}" name="ENERGY STAR?" dataDxfId="748"/>
    <tableColumn id="9" xr3:uid="{5EBA8D4F-CD07-514C-A264-6A6F1055BC02}" name="Column1" dataDxfId="747"/>
    <tableColumn id="10" xr3:uid="{D8AF3EFA-FB02-2843-B8FA-5B0700ED2308}" name="Column2" dataDxfId="746"/>
    <tableColumn id="11" xr3:uid="{E9D3AE3E-77D9-2A4C-86B5-5536139CC269}" name="LOCATION_x000a_(dwg / spec)" dataDxfId="745"/>
    <tableColumn id="12" xr3:uid="{EB9101A4-4CFC-6D47-8990-3EA1EFE2DDA1}" name="PLAN REVIEW" dataDxfId="744"/>
    <tableColumn id="13" xr3:uid="{28ABDD4A-BFCD-EF46-8CE8-004DA7A4301C}" name="INSPECTION" dataDxfId="743"/>
    <tableColumn id="14" xr3:uid="{4359DF7F-4B12-354A-8464-B5CFDB705FEB}" name="INSPECTION COMMENTS _x000a_(Problems, sample details/apt #s, etc.)" dataDxfId="74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EA3EABD-CB0B-CB47-BC79-54E5B8717989}" name="TableRaterDF4" displayName="TableRaterDF4" ref="B4:E7" totalsRowShown="0" headerRowDxfId="741" dataDxfId="740" tableBorderDxfId="739">
  <autoFilter ref="B4:E7" xr:uid="{00000000-0009-0000-0100-000008000000}">
    <filterColumn colId="0" hiddenButton="1"/>
    <filterColumn colId="1" hiddenButton="1"/>
    <filterColumn colId="2" hiddenButton="1"/>
    <filterColumn colId="3" hiddenButton="1"/>
  </autoFilter>
  <tableColumns count="4">
    <tableColumn id="1" xr3:uid="{7712F85B-46F8-A145-A00A-17CDAF7D2855}" name="Pathway" dataDxfId="738"/>
    <tableColumn id="2" xr3:uid="{1F98103B-B2CC-DC41-AC1A-596E6179C778}" name="Dwelling unit doors and windows that are not classified “Class AW”*" dataDxfId="737"/>
    <tableColumn id="3" xr3:uid="{6FB62A96-D823-5944-B65A-3B02B8175A15}" name="Dwelling unit windows and doors that are classified as “Class AW”*" dataDxfId="736"/>
    <tableColumn id="4" xr3:uid="{97519F00-C666-0844-8922-AFC4114ACFDC}" name="Common Space†" dataDxfId="73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C651406-22DB-944A-BAC9-2DCC1744DAAA}" name="TableRaterDF11" displayName="TableRaterDF11" ref="G5:L15" totalsRowShown="0" headerRowDxfId="734" dataDxfId="733">
  <autoFilter ref="G5:L15"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58351CDF-03F5-4C42-91E6-FD109771F21B}" name="Floor area" dataDxfId="732"/>
    <tableColumn id="2" xr3:uid="{E6E367DB-1D84-FA4B-8A0A-3BDF28DFC300}" name="1" dataDxfId="731"/>
    <tableColumn id="3" xr3:uid="{27958FEF-608D-6741-BEF5-B83C51D9368A}" name="2" dataDxfId="730"/>
    <tableColumn id="4" xr3:uid="{4AA0B439-F75B-B340-8220-2EEBFB5E7382}" name="3" dataDxfId="729"/>
    <tableColumn id="5" xr3:uid="{D4A2A2D4-6DC6-624B-9B0D-E4534FE57EC5}" name="4" dataDxfId="728"/>
    <tableColumn id="6" xr3:uid="{FC6CA217-998C-2142-9AE9-C2E91E7FCE94}" name="5" dataDxfId="7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099AA2-73E2-EB44-834A-91D8F942377F}" name="RaterDesignChecklist" displayName="RaterDesignChecklist" ref="C8:K115" totalsRowShown="0" headerRowDxfId="1519" dataDxfId="1518" tableBorderDxfId="1517">
  <autoFilter ref="C8:K1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customFilters>
        <customFilter operator="notEqual" val="*footnote*"/>
      </customFilters>
    </filterColumn>
    <filterColumn colId="8" hiddenButton="1"/>
  </autoFilter>
  <tableColumns count="9">
    <tableColumn id="1" xr3:uid="{F21CAB7F-1462-DF45-8787-8348EFC271B4}" name=" " dataDxfId="1516"/>
    <tableColumn id="2" xr3:uid="{BE514425-59A7-694C-8C3C-21C8620A6E9F}" name="Must Correct" dataDxfId="1515"/>
    <tableColumn id="3" xr3:uid="{00AB7C9F-E030-B44E-AB65-A654DEA7E516}" name="Rater 4 Verified" dataDxfId="1514"/>
    <tableColumn id="4" xr3:uid="{DFE51C3C-D414-394A-9F95-B1BD8F00F086}" name="Comments" dataDxfId="1513"/>
    <tableColumn id="9" xr3:uid="{9E9D6D35-DAE1-554F-8EBF-80331A7FF705}" name="Column1" dataDxfId="1512"/>
    <tableColumn id="5" xr3:uid="{C3DDAD2E-DDF7-A74E-B3D9-9B56A0825B10}" name="Pathway Tag" dataDxfId="1511"/>
    <tableColumn id="7" xr3:uid="{0AC608C9-46A5-7D42-8886-DD02B8BB99A7}" name="Required Fields" dataDxfId="1510"/>
    <tableColumn id="8" xr3:uid="{0A48E890-B20B-6A48-85CE-155539457CEE}" name="Field Type" dataDxfId="1509"/>
    <tableColumn id="6" xr3:uid="{8F5E96FC-7BCF-8D42-94A1-C3B3A313E508}" name="Additional Columns" dataDxfId="1508"/>
  </tableColumns>
  <tableStyleInfo showFirstColumn="0" showLastColumn="0" showRowStripes="1" showColumnStripes="0"/>
  <extLst>
    <ext xmlns:x14="http://schemas.microsoft.com/office/spreadsheetml/2009/9/main" uri="{504A1905-F514-4f6f-8877-14C23A59335A}">
      <x14:table altText="Footnote 4" altTextSummary="blah blah blah blah"/>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FE7EB33-F76D-E14B-9AC7-092864E22C16}" name="TableRaterFF68" displayName="TableRaterFF68" ref="C13:D26" totalsRowShown="0" headerRowDxfId="726" dataDxfId="725" tableBorderDxfId="724">
  <autoFilter ref="C13:D26" xr:uid="{00000000-0009-0000-0100-000011000000}">
    <filterColumn colId="0" hiddenButton="1"/>
    <filterColumn colId="1" hiddenButton="1"/>
  </autoFilter>
  <tableColumns count="2">
    <tableColumn id="1" xr3:uid="{85E99ECF-C1D4-F84D-A622-EB579874C6A2}" name="ASHRAE Space Type " dataDxfId="723"/>
    <tableColumn id="2" xr3:uid="{E86B0327-9632-2841-B87F-FBC12DDE4F35}" name="Lighting Power Densities (W/ft2)" dataDxfId="72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E16C5AC-5F87-CE47-865D-C68090DCAFEC}" name="ExhibitX" displayName="ExhibitX" ref="C30:D64" totalsRowShown="0" headerRowDxfId="721" dataDxfId="720">
  <autoFilter ref="C30:D64" xr:uid="{00000000-0009-0000-0100-000012000000}">
    <filterColumn colId="0" hiddenButton="1"/>
    <filterColumn colId="1" hiddenButton="1"/>
  </autoFilter>
  <tableColumns count="2">
    <tableColumn id="1" xr3:uid="{582062C9-D89E-7448-888A-B30DFF9E6A7B}" name="Equipment Type" dataDxfId="719"/>
    <tableColumn id="2" xr3:uid="{7802E533-BF64-AC48-8D0D-03FBF159A600}" name="Minimum Efficiency" dataDxfId="718"/>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CE80EF6-EE93-8341-B9C1-A6664020153A}" name="ESRefDesign_Insulation_V1" displayName="ESRefDesign_Insulation_V1" ref="N4:W10" totalsRowShown="0" headerRowDxfId="717" dataDxfId="716" tableBorderDxfId="715">
  <autoFilter ref="N4:W10"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DAEFDF9-A8D7-604A-9EEA-B34B451507E5}" name="Climate Zone:" dataDxfId="714"/>
    <tableColumn id="2" xr3:uid="{3BD72512-6859-1F4A-BECD-AE1C95F64452}" name="CZ 1" dataDxfId="713"/>
    <tableColumn id="3" xr3:uid="{B654FC52-C30F-3940-9D9B-567989C6743B}" name="CZ 2" dataDxfId="712"/>
    <tableColumn id="4" xr3:uid="{7E575D38-98B7-B749-BF48-31408E4D42C2}" name="CZ 3" dataDxfId="711"/>
    <tableColumn id="5" xr3:uid="{69D10495-05FF-2448-94F3-FFD26825F705}" name="CZ 4" dataDxfId="710"/>
    <tableColumn id="6" xr3:uid="{E8A16ED6-8578-CE40-85BF-1DDF7C83F61D}" name="CZ 4 C" dataDxfId="709"/>
    <tableColumn id="7" xr3:uid="{69796E7B-D520-8946-B5BE-7E1C41E705B0}" name="CZ 5" dataDxfId="708"/>
    <tableColumn id="8" xr3:uid="{6B1218E7-5E47-2046-AE2B-93642EBA6584}" name="CZ 6" dataDxfId="707"/>
    <tableColumn id="9" xr3:uid="{E21D7690-32CE-EC42-A52D-07FC960E047F}" name="CZ 7" dataDxfId="706"/>
    <tableColumn id="10" xr3:uid="{D0FDAD70-6C10-704F-BBB4-2535EAF78A8C}" name="CZ 8" dataDxfId="705"/>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5F93C8-D608-8844-BC83-1E1DF8D3A9E1}" name="ESRefDesign_Insulation_V11" displayName="ESRefDesign_Insulation_V11" ref="Y4:AH10" totalsRowShown="0" headerRowDxfId="704" dataDxfId="703" tableBorderDxfId="702">
  <autoFilter ref="Y4:AH10"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6E59973-D803-324D-ADAF-9814BCF76A05}" name="Climate Zone:" dataDxfId="701"/>
    <tableColumn id="2" xr3:uid="{7B361DF3-9877-DD4C-97C1-0A220874A2A4}" name="CZ 1" dataDxfId="700"/>
    <tableColumn id="3" xr3:uid="{44991F58-269B-F049-A542-CFDA37253B75}" name="CZ 2" dataDxfId="699"/>
    <tableColumn id="4" xr3:uid="{C53FC2ED-1B5C-DD4F-A2A3-38118778E5CE}" name="CZ 3" dataDxfId="698"/>
    <tableColumn id="5" xr3:uid="{3B241D5F-F253-D642-A310-B6DB8875811E}" name="CZ 4" dataDxfId="697"/>
    <tableColumn id="6" xr3:uid="{D02FE0B5-DCFC-4B4B-B8DB-A9A0325EC7E0}" name="CZ 4 C" dataDxfId="696"/>
    <tableColumn id="7" xr3:uid="{C2D983A0-333A-DE4E-8ED0-EBC5056565E2}" name="CZ 5" dataDxfId="695"/>
    <tableColumn id="8" xr3:uid="{6A44DFAA-A5EF-E348-A789-1919A25E0603}" name="CZ 6" dataDxfId="694"/>
    <tableColumn id="9" xr3:uid="{F621ADF3-F38F-AA4B-BFE5-4F0CEAE39E87}" name="CZ 7" dataDxfId="693"/>
    <tableColumn id="10" xr3:uid="{34A833BD-20CB-9A4F-B6E5-D0620C38CB8E}" name="CZ 8" dataDxfId="69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26F5B72-E7B0-D541-BFF3-33423609F1C7}" name="ESRefDesign_Insulation_V12" displayName="ESRefDesign_Insulation_V12" ref="AJ4:AK9" totalsRowShown="0" headerRowDxfId="691" dataDxfId="690" tableBorderDxfId="689">
  <autoFilter ref="AJ4:AK9" xr:uid="{00000000-0009-0000-0100-00001C000000}">
    <filterColumn colId="0" hiddenButton="1"/>
    <filterColumn colId="1" hiddenButton="1"/>
  </autoFilter>
  <tableColumns count="2">
    <tableColumn id="1" xr3:uid="{AE743125-58AF-0841-8025-5265891FB32B}" name="Climate Zone:" dataDxfId="688"/>
    <tableColumn id="2" xr3:uid="{64B28083-CD63-0249-A89E-73DD38621A8E}" name="Insulation Level" dataDxfId="687"/>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7D302BB-E72A-1A41-B016-03DC980D62AA}" name="IECC2009_R_Roofs" displayName="IECC2009_R_Roofs" ref="N15:W18" totalsRowShown="0" headerRowDxfId="686" dataDxfId="684" headerRowBorderDxfId="685" tableBorderDxfId="683">
  <autoFilter ref="N15:W18" xr:uid="{00000000-0009-0000-0100-00001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2825DCE-D8C3-3B4F-8CB0-E3B91D5EC24D}" name="Climate Zone:" dataDxfId="682"/>
    <tableColumn id="2" xr3:uid="{5402D205-F138-0C40-A064-28D049A51A2B}" name="CZ 1" dataDxfId="681"/>
    <tableColumn id="3" xr3:uid="{94C76AA9-A44C-3F4A-BE49-769A6F6DDC86}" name="CZ 2" dataDxfId="680"/>
    <tableColumn id="4" xr3:uid="{5E8C25F1-0016-6B40-B2F4-8CC49C115C6F}" name="CZ 3" dataDxfId="679"/>
    <tableColumn id="5" xr3:uid="{5C109511-21E9-F74E-9F51-CAA9134F3D5B}" name="CZ 4" dataDxfId="678"/>
    <tableColumn id="6" xr3:uid="{7389BE58-09F3-C549-844A-DCFB7DAA023E}" name="CZ 4 C" dataDxfId="677">
      <calculatedColumnFormula>IECC2009_R_Roofs[[#This Row],[CZ 5]]</calculatedColumnFormula>
    </tableColumn>
    <tableColumn id="7" xr3:uid="{FDA87DF0-0174-9244-9DCF-87376E80A437}" name="CZ 5" dataDxfId="676"/>
    <tableColumn id="8" xr3:uid="{BB410AA6-7171-2148-8BAD-9B17864A83C7}" name="CZ 6" dataDxfId="675"/>
    <tableColumn id="9" xr3:uid="{7DE5DEF9-B377-CC47-9F8C-E40FC5BC4BA5}" name="CZ 7" dataDxfId="674"/>
    <tableColumn id="10" xr3:uid="{E23C7F69-0771-774C-A39E-B62290E8923A}" name="CZ 8" dataDxfId="673"/>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26CF2CB-3372-F94E-97E1-FAE020D5CCB8}" name="IECC2009_R_WallsAboveGrade" displayName="IECC2009_R_WallsAboveGrade" ref="N22:W26" totalsRowShown="0" headerRowDxfId="672" dataDxfId="670" headerRowBorderDxfId="671" tableBorderDxfId="669">
  <autoFilter ref="N22:W26"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DDED8D4-3969-A34D-8771-5BDBAB057F43}" name="Climate Zone:" dataDxfId="668"/>
    <tableColumn id="2" xr3:uid="{DD25239F-7E1D-4846-9B43-114FA273425A}" name="CZ 1" dataDxfId="667"/>
    <tableColumn id="3" xr3:uid="{E37AA65C-8484-F04E-9D59-042B01A5B29F}" name="CZ 2" dataDxfId="666"/>
    <tableColumn id="4" xr3:uid="{356C036E-AD54-F845-8245-044BD2A8E78F}" name="CZ 3" dataDxfId="665"/>
    <tableColumn id="5" xr3:uid="{7F3EB468-22D5-2C46-953A-A63A87710034}" name="CZ 4" dataDxfId="664"/>
    <tableColumn id="6" xr3:uid="{B7600CCE-C34D-2546-93DE-365DE7CDF0A8}" name="CZ 4 C" dataDxfId="663">
      <calculatedColumnFormula>IECC2009_R_WallsAboveGrade[[#This Row],[CZ 5]]</calculatedColumnFormula>
    </tableColumn>
    <tableColumn id="7" xr3:uid="{83CBD15A-92EC-4542-9983-69A4F870BE8A}" name="CZ 5" dataDxfId="662"/>
    <tableColumn id="8" xr3:uid="{BCC01FE9-383D-8B47-B899-BB443F99BDB7}" name="CZ 6" dataDxfId="661"/>
    <tableColumn id="9" xr3:uid="{61CD46AF-2F0B-FC4A-9374-839229EBC43F}" name="CZ 7" dataDxfId="660"/>
    <tableColumn id="10" xr3:uid="{FBF418FE-39F7-D34E-AC60-2EA32FDD978F}" name="CZ 8" dataDxfId="659"/>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32EC197-DC39-D544-A255-0C056CFE0338}" name="IECC2009_R_WallsBelowGrade" displayName="IECC2009_R_WallsBelowGrade" ref="N30:W31" totalsRowShown="0" headerRowDxfId="658" dataDxfId="656" headerRowBorderDxfId="657" tableBorderDxfId="655">
  <autoFilter ref="N30:W31"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63884D1-DBB0-2A45-9866-344EC62F84CD}" name="Climate Zone:" dataDxfId="654"/>
    <tableColumn id="2" xr3:uid="{9EA951CA-B234-B140-981E-BBBA0505298E}" name="CZ 1" dataDxfId="653"/>
    <tableColumn id="3" xr3:uid="{67D8889F-1215-8B42-8DE0-F73C2C55B2EE}" name="CZ 2" dataDxfId="652"/>
    <tableColumn id="4" xr3:uid="{8F89E479-D64A-554C-BB5E-8F3064CD4412}" name="CZ 3" dataDxfId="651"/>
    <tableColumn id="5" xr3:uid="{546D410B-D1FB-DE40-A865-2E740DA46B98}" name="CZ 4" dataDxfId="650"/>
    <tableColumn id="6" xr3:uid="{3635AC68-DCA4-5349-A360-BA02B45E1E5B}" name="CZ 4 C" dataDxfId="649">
      <calculatedColumnFormula>IECC2009_R_WallsBelowGrade[CZ 5]</calculatedColumnFormula>
    </tableColumn>
    <tableColumn id="7" xr3:uid="{F8222D4F-729D-2648-ADCB-26FCAB13E3F3}" name="CZ 5" dataDxfId="648"/>
    <tableColumn id="8" xr3:uid="{EA90FBE0-5280-3341-9CDA-0CBFF55FC2FB}" name="CZ 6" dataDxfId="647"/>
    <tableColumn id="9" xr3:uid="{2DFE4DEA-351D-FB4A-BD08-9DBECA4B6F79}" name="CZ 7" dataDxfId="646"/>
    <tableColumn id="10" xr3:uid="{0C4C2D39-4155-8141-8AE6-57F42BA46B36}" name="CZ 8" dataDxfId="645"/>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FFA1C1F-190D-054C-B061-2F188431DA73}" name="IECC2009_R_Floors" displayName="IECC2009_R_Floors" ref="N35:W37" totalsRowShown="0" headerRowDxfId="644" dataDxfId="642" headerRowBorderDxfId="643" tableBorderDxfId="641">
  <autoFilter ref="N35:W37"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16427A8-4104-AE42-8A6F-3555C2516C91}" name="Climate Zone:" dataDxfId="640"/>
    <tableColumn id="2" xr3:uid="{220CC5B3-B373-2B4C-90B3-167FF533DEED}" name="CZ 1" dataDxfId="639"/>
    <tableColumn id="3" xr3:uid="{93EEBCE1-7086-BB4D-80A7-D044A93B6A40}" name="CZ 2" dataDxfId="638"/>
    <tableColumn id="4" xr3:uid="{27B23378-96A5-F34F-8980-9D2E1B4E2DDD}" name="CZ 3" dataDxfId="637"/>
    <tableColumn id="5" xr3:uid="{D3A98E82-1440-F14E-828E-8DE77EAE421F}" name="CZ 4" dataDxfId="636"/>
    <tableColumn id="6" xr3:uid="{2B510180-FF5F-CA4E-9847-78C23D4FD774}" name="CZ 4 C" dataDxfId="635">
      <calculatedColumnFormula>IECC2009_R_Floors[[#This Row],[CZ 5]]</calculatedColumnFormula>
    </tableColumn>
    <tableColumn id="7" xr3:uid="{B2B17F13-B340-2A47-AFD6-B01D3F125D6B}" name="CZ 5" dataDxfId="634"/>
    <tableColumn id="8" xr3:uid="{B537AEC8-7C3C-164F-8E62-49132467E49F}" name="CZ 6" dataDxfId="633"/>
    <tableColumn id="9" xr3:uid="{B1290E31-68AC-2845-936A-51E029D70F91}" name="CZ 7" dataDxfId="632"/>
    <tableColumn id="10" xr3:uid="{BF2576B7-C25A-3843-A4F2-AD2F406F4926}" name="CZ 8" dataDxfId="631"/>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A68B459-1730-7B4D-B886-69C2E422087C}" name="IECC2009_R_SlabOnGradeFloors" displayName="IECC2009_R_SlabOnGradeFloors" ref="N41:W43" totalsRowShown="0" headerRowDxfId="630" dataDxfId="628" headerRowBorderDxfId="629" tableBorderDxfId="627">
  <autoFilter ref="N41:W43" xr:uid="{00000000-0009-0000-0100-00002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56A89F8-1C6D-E249-8405-BD850D5AF5A8}" name="Climate Zone:" dataDxfId="626"/>
    <tableColumn id="2" xr3:uid="{5212F8A8-E714-5843-A492-9ECB65BB66EE}" name="CZ 1" dataDxfId="625"/>
    <tableColumn id="3" xr3:uid="{2DB3965D-706D-1641-AF4E-2A738677D9EC}" name="CZ 2" dataDxfId="624"/>
    <tableColumn id="4" xr3:uid="{0A01FB6D-0490-964C-813D-E59A61614F49}" name="CZ 3" dataDxfId="623"/>
    <tableColumn id="5" xr3:uid="{CB084E7E-B419-AF40-AC70-1C29D646B77C}" name="CZ 4" dataDxfId="622"/>
    <tableColumn id="6" xr3:uid="{55FEA779-6E03-834C-AE01-10AB08962835}" name="CZ 4 C" dataDxfId="621">
      <calculatedColumnFormula>IECC2009_R_SlabOnGradeFloors[[#This Row],[CZ 5]]</calculatedColumnFormula>
    </tableColumn>
    <tableColumn id="7" xr3:uid="{21EBC3F2-4C4A-0043-AC6B-ED50A5A2CA28}" name="CZ 5" dataDxfId="620"/>
    <tableColumn id="8" xr3:uid="{8C462A18-B7BE-6A42-A678-23CF6F450C5F}" name="CZ 6" dataDxfId="619"/>
    <tableColumn id="9" xr3:uid="{D51ED43C-16B6-4F45-9AEC-CDF79B73E25C}" name="CZ 7" dataDxfId="618"/>
    <tableColumn id="10" xr3:uid="{839BA50C-61BC-5C4B-8DE8-250E16C848B2}" name="CZ 8" dataDxfId="617"/>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9A846B-B5C8-4E4F-AD6F-4BA2207204A6}" name="RaterFieldChecklist" displayName="RaterFieldChecklist" ref="C9:M259" totalsRowShown="0" headerRowDxfId="1497" dataDxfId="1496">
  <autoFilter ref="C9:M25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customFilters>
        <customFilter operator="notEqual" val="*footnote*"/>
      </customFilters>
    </filterColumn>
    <filterColumn colId="9" hiddenButton="1"/>
    <filterColumn colId="10" hiddenButton="1"/>
  </autoFilter>
  <tableColumns count="11">
    <tableColumn id="1" xr3:uid="{275D4B34-3BB7-B847-861E-744B0C1A4AC0}" name=" " dataDxfId="1495"/>
    <tableColumn id="2" xr3:uid="{9C8EEE63-52E2-144A-9499-3260E6CA77BE}" name="Must Correct " dataDxfId="1494"/>
    <tableColumn id="3" xr3:uid="{FFC5BF39-B034-7942-8058-76CC89C1B0C2}" name="Builder Verified 3" dataDxfId="1493"/>
    <tableColumn id="4" xr3:uid="{5E69D447-A115-F14D-BD1A-D91C0A08C449}" name="LP Verified 39" dataDxfId="1492"/>
    <tableColumn id="5" xr3:uid="{F1BA173F-40F8-B246-8EB8-5215E7B4320F}" name="Rater Verified 4" dataDxfId="1491"/>
    <tableColumn id="6" xr3:uid="{C53814E7-1FCB-734A-A19D-DDBFF52D3315}" name="N/A 5" dataDxfId="1490"/>
    <tableColumn id="7" xr3:uid="{5D3C818D-3024-4B4B-AE4A-4A48AA3DA506}" name="Pathway Tag" dataDxfId="1489"/>
    <tableColumn id="8" xr3:uid="{BF170DDA-B883-614F-9D68-353509E04FFB}" name="Required Fields" dataDxfId="1488"/>
    <tableColumn id="9" xr3:uid="{94783296-EC2D-A049-BC04-1587C69E3DB5}" name="Field Type" dataDxfId="1487"/>
    <tableColumn id="11" xr3:uid="{47A2EC5B-8FD0-0A48-A5BB-59EA1EB1C589}" name="Additional Columns" dataDxfId="1486"/>
    <tableColumn id="10" xr3:uid="{A2E74D0B-21E9-4249-B3E2-A0F46FCC1D77}" name="Notes/Comments" dataDxfId="148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C750F25-CF14-AA4E-99B6-B88B1559E173}" name="IECC2009_R_OpaqueDoors" displayName="IECC2009_R_OpaqueDoors" ref="N47:W49" totalsRowShown="0" headerRowDxfId="616" dataDxfId="614" headerRowBorderDxfId="615" tableBorderDxfId="613">
  <autoFilter ref="N47:W49"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D53AEE9-9290-D54A-811E-B54DE891D49E}" name="Climate Zone:" dataDxfId="612"/>
    <tableColumn id="2" xr3:uid="{355130CC-D518-0248-A0FE-4B3127615A8A}" name="CZ 1" dataDxfId="611"/>
    <tableColumn id="3" xr3:uid="{5240402B-8D9E-BD42-907B-B520B101199E}" name="CZ 2" dataDxfId="610"/>
    <tableColumn id="4" xr3:uid="{BB1D7E86-98F7-4B4E-BFE0-BEDA4D86D78E}" name="CZ 3" dataDxfId="609"/>
    <tableColumn id="5" xr3:uid="{B2BB9E7B-77B4-8247-BB2D-CC0A41003BAD}" name="CZ 4" dataDxfId="608"/>
    <tableColumn id="6" xr3:uid="{D1B130C6-8F34-4043-8FBD-A88B1082525E}" name="CZ 4 C" dataDxfId="607">
      <calculatedColumnFormula>IECC2009_R_OpaqueDoors[[#This Row],[CZ 5]]</calculatedColumnFormula>
    </tableColumn>
    <tableColumn id="7" xr3:uid="{624069F6-E85C-5C47-877B-D8BEC9A50AE7}" name="CZ 5" dataDxfId="606"/>
    <tableColumn id="8" xr3:uid="{AD46A843-B60A-8943-AA9A-BA1BE3B20ECC}" name="CZ 6" dataDxfId="605"/>
    <tableColumn id="9" xr3:uid="{4994A234-624F-C045-B92C-3B3BBBD2C929}" name="CZ 7" dataDxfId="604"/>
    <tableColumn id="10" xr3:uid="{21320A59-F144-3E4B-AD4A-77D0E38C80A1}" name="CZ 8" dataDxfId="603"/>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EF1AD95-77A6-6B4A-9161-C746F2C48100}" name="IECC2009_O_Roofs" displayName="IECC2009_O_Roofs" ref="N63:W66" totalsRowShown="0" headerRowDxfId="602" dataDxfId="600" headerRowBorderDxfId="601" tableBorderDxfId="599">
  <autoFilter ref="N63:W66" xr:uid="{00000000-0009-0000-0100-00003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A28523-3BCB-2842-B10C-E5E36D8D1E2E}" name="Climate Zone:" dataDxfId="598"/>
    <tableColumn id="2" xr3:uid="{D8A8634E-E098-E54D-89D6-1DD3B8B55933}" name="CZ 1" dataDxfId="597"/>
    <tableColumn id="3" xr3:uid="{5DF7B715-DBC9-8642-AEC7-5E15312E7303}" name="CZ 2" dataDxfId="596"/>
    <tableColumn id="4" xr3:uid="{0A0EA9D8-53BE-1E41-A5E4-E3FCBC406CFA}" name="CZ 3" dataDxfId="595"/>
    <tableColumn id="5" xr3:uid="{7CC60755-52E7-DD4A-8B65-E9CBD70311F8}" name="CZ 4" dataDxfId="594"/>
    <tableColumn id="6" xr3:uid="{1D97306F-4345-C14D-8674-DFA382D504B3}" name="CZ 4 C" dataDxfId="593">
      <calculatedColumnFormula>IECC2009_O_Roofs[[#This Row],[CZ 5]]</calculatedColumnFormula>
    </tableColumn>
    <tableColumn id="7" xr3:uid="{460192EF-ECA2-454E-B0A6-B155708CE11A}" name="CZ 5" dataDxfId="592"/>
    <tableColumn id="8" xr3:uid="{11CE3D6E-4464-0E42-89B4-FDE365ABD4AC}" name="CZ 6" dataDxfId="591"/>
    <tableColumn id="9" xr3:uid="{826ED6F1-E4DE-1E42-8E82-FEC7CC138A09}" name="CZ 7" dataDxfId="590"/>
    <tableColumn id="10" xr3:uid="{34E1BF73-017D-5543-A4B5-3F757A73D014}" name="CZ 8" dataDxfId="589"/>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A07C1E40-72EE-AC47-BC94-5948E06B787B}" name="IECC2009_O_WallsAboveGrade" displayName="IECC2009_O_WallsAboveGrade" ref="N70:W74" totalsRowShown="0" headerRowDxfId="588" dataDxfId="586" headerRowBorderDxfId="587" tableBorderDxfId="585">
  <autoFilter ref="N70:W74" xr:uid="{00000000-0009-0000-0100-00003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5F40D4C-CFA4-1248-AB74-5DAD24F15A3E}" name="Climate Zone:" dataDxfId="584"/>
    <tableColumn id="2" xr3:uid="{804667F4-F7D2-AD4A-8AEF-F63CC92A4C5A}" name="CZ 1" dataDxfId="583"/>
    <tableColumn id="3" xr3:uid="{E51E27F5-587D-9D44-BF42-854B57B046F4}" name="CZ 2" dataDxfId="582"/>
    <tableColumn id="4" xr3:uid="{ADE44FDE-3F99-E347-AE79-60F5EBE7470C}" name="CZ 3" dataDxfId="581"/>
    <tableColumn id="5" xr3:uid="{AE72BE15-A92B-1C4F-9922-1E84D58C1E41}" name="CZ 4" dataDxfId="580"/>
    <tableColumn id="6" xr3:uid="{E7C49180-1348-AA4F-A76F-C2FF9065FA50}" name="CZ 4 C" dataDxfId="579">
      <calculatedColumnFormula>IECC2009_O_WallsAboveGrade[[#This Row],[CZ 5]]</calculatedColumnFormula>
    </tableColumn>
    <tableColumn id="7" xr3:uid="{A54CC57E-2A5D-2D4F-AADF-A1268C369A58}" name="CZ 5" dataDxfId="578"/>
    <tableColumn id="8" xr3:uid="{08AD4E01-ED99-B545-895F-BE5275F4BFEE}" name="CZ 6" dataDxfId="577"/>
    <tableColumn id="9" xr3:uid="{8206598F-1E3E-994A-9CC5-2BF21D3A3881}" name="CZ 7" dataDxfId="576"/>
    <tableColumn id="10" xr3:uid="{D881AB2B-9D08-7D4F-BCE6-57ABA091FFF8}" name="CZ 8" dataDxfId="575"/>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BFA9E23-88C0-E541-9452-A8FECE9CF107}" name="IECC2009_O_WallsBelowGrade" displayName="IECC2009_O_WallsBelowGrade" ref="N78:W79" totalsRowShown="0" headerRowDxfId="574" dataDxfId="572" headerRowBorderDxfId="573" tableBorderDxfId="571">
  <autoFilter ref="N78:W79" xr:uid="{00000000-0009-0000-0100-00003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C2E341E-81DD-8D43-BC06-77DC2A1FA2B9}" name="Climate Zone:" dataDxfId="570"/>
    <tableColumn id="2" xr3:uid="{DE969E3C-45BF-9447-B37F-8D07E6DD9E55}" name="CZ 1" dataDxfId="569"/>
    <tableColumn id="3" xr3:uid="{6D3724D5-5343-774A-9F04-8563F8A7413C}" name="CZ 2" dataDxfId="568"/>
    <tableColumn id="4" xr3:uid="{C360A2BF-0D57-C14E-967B-E8438CC0E4DE}" name="CZ 3" dataDxfId="567"/>
    <tableColumn id="5" xr3:uid="{4669D85F-355F-1F4F-AF72-482B0FD8F014}" name="CZ 4" dataDxfId="566"/>
    <tableColumn id="6" xr3:uid="{321128F2-FE90-7B4E-AC9E-8923077AE2F7}" name="CZ 4 C" dataDxfId="565"/>
    <tableColumn id="7" xr3:uid="{319CCC28-3321-3F4F-97E9-B4A8DA381979}" name="CZ 5" dataDxfId="564"/>
    <tableColumn id="8" xr3:uid="{EAB9F702-1878-494E-B2F0-2AC6875B60F8}" name="CZ 6" dataDxfId="563"/>
    <tableColumn id="9" xr3:uid="{8139455C-1080-6B48-B00A-3702152AB306}" name="CZ 7" dataDxfId="562"/>
    <tableColumn id="10" xr3:uid="{82BA8EEF-BE8F-C04A-8009-864A5F37BF81}" name="CZ 8" dataDxfId="561"/>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A0ECDAB-B8F1-414B-A00A-3A13A2DF4196}" name="IECC2009_O_Floors" displayName="IECC2009_O_Floors" ref="N83:W85" totalsRowShown="0" headerRowDxfId="560" dataDxfId="558" headerRowBorderDxfId="559" tableBorderDxfId="557">
  <autoFilter ref="N83:W85" xr:uid="{00000000-0009-0000-0100-00003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053447B-24CE-8644-812B-4EE8ED57D724}" name="Climate Zone:" dataDxfId="556"/>
    <tableColumn id="2" xr3:uid="{5CFA5AA7-0BF0-E04D-B95D-246B43E68210}" name="CZ 1" dataDxfId="555"/>
    <tableColumn id="3" xr3:uid="{53D96481-4AB9-A743-951D-D899DA694E8A}" name="CZ 2" dataDxfId="554"/>
    <tableColumn id="4" xr3:uid="{9B466EBE-4D47-2142-B467-75099B3ED5BB}" name="CZ 3" dataDxfId="553"/>
    <tableColumn id="5" xr3:uid="{8EEDD312-2669-1542-A08C-8D17FC490FE4}" name="CZ 4" dataDxfId="552"/>
    <tableColumn id="6" xr3:uid="{29D12CD3-0B93-4146-B216-E974367C7C54}" name="CZ 4 C" dataDxfId="551">
      <calculatedColumnFormula>IECC2009_O_Floors[[#This Row],[CZ 5]]</calculatedColumnFormula>
    </tableColumn>
    <tableColumn id="7" xr3:uid="{C63E1D5E-F40C-984D-8953-1F3D2BAF2C72}" name="CZ 5" dataDxfId="550"/>
    <tableColumn id="8" xr3:uid="{6F0E823A-D3AF-414D-909C-D0B22A40B408}" name="CZ 6" dataDxfId="549"/>
    <tableColumn id="9" xr3:uid="{ED8E9368-A2AC-CA47-8FE7-86715279B8EE}" name="CZ 7" dataDxfId="548"/>
    <tableColumn id="10" xr3:uid="{735B410C-E2CB-4145-A3F1-1C0037A7B746}" name="CZ 8" dataDxfId="547"/>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17EE24D-BC9B-EE42-9B19-3491EC65B5D1}" name="IECC2009_O_SlabOnGradeFloors" displayName="IECC2009_O_SlabOnGradeFloors" ref="N89:W91" totalsRowShown="0" headerRowDxfId="546" dataDxfId="544" headerRowBorderDxfId="545" tableBorderDxfId="543">
  <autoFilter ref="N89:W91" xr:uid="{00000000-0009-0000-0100-00003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38C6E6-E6E3-CE46-8300-F1C2A2BF010F}" name="Climate Zone:" dataDxfId="542"/>
    <tableColumn id="2" xr3:uid="{7F29346C-8215-BD4D-A6B5-54C1AE83DFD4}" name="CZ 1" dataDxfId="541"/>
    <tableColumn id="3" xr3:uid="{FFC9DC47-4934-5D4A-9729-E54484E83BD4}" name="CZ 2" dataDxfId="540"/>
    <tableColumn id="4" xr3:uid="{DBE3B783-4A25-5140-B1E7-B8D052089592}" name="CZ 3" dataDxfId="539"/>
    <tableColumn id="5" xr3:uid="{F1D5C024-C46E-9544-903C-7102F03D6814}" name="CZ 4" dataDxfId="538"/>
    <tableColumn id="6" xr3:uid="{9F9F82E1-1B0A-7C4A-BFCE-1DA2170C3C81}" name="CZ 4 C" dataDxfId="537">
      <calculatedColumnFormula>IECC2009_O_SlabOnGradeFloors[[#This Row],[CZ 5]]</calculatedColumnFormula>
    </tableColumn>
    <tableColumn id="7" xr3:uid="{1405E2DB-8E2D-4C4A-9827-D80E49DBEBB4}" name="CZ 5" dataDxfId="536"/>
    <tableColumn id="8" xr3:uid="{0B1008D3-659E-DA43-9AC9-E1DE49FB9293}" name="CZ 6" dataDxfId="535"/>
    <tableColumn id="9" xr3:uid="{B746C1A2-B4A4-A54C-A774-24EBD8D95F81}" name="CZ 7" dataDxfId="534"/>
    <tableColumn id="10" xr3:uid="{934CB5DE-BA8F-724D-BCE7-501C9AF96F1B}" name="CZ 8" dataDxfId="533"/>
  </tableColumns>
  <tableStyleInfo name="TableStyleLight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036A406-317B-BE43-B972-745FCA7AB88F}" name="IECC2009_O_OpaqueDoors" displayName="IECC2009_O_OpaqueDoors" ref="N95:W97" totalsRowShown="0" headerRowDxfId="532" dataDxfId="530" headerRowBorderDxfId="531" tableBorderDxfId="529">
  <autoFilter ref="N95:W97" xr:uid="{00000000-0009-0000-0100-00003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CEA86F3-8280-0645-9470-1CCE06584DD5}" name="Climate Zone:" dataDxfId="528"/>
    <tableColumn id="2" xr3:uid="{0FF6BB79-C281-1A47-A1F4-660D230BD2DC}" name="CZ 1" dataDxfId="527"/>
    <tableColumn id="3" xr3:uid="{7A666DB9-A0AC-7C46-B108-D74662AA5DA2}" name="CZ 2" dataDxfId="526"/>
    <tableColumn id="4" xr3:uid="{EC89D1E9-D10A-154A-9A66-0F507112669C}" name="CZ 3" dataDxfId="525"/>
    <tableColumn id="5" xr3:uid="{7D2BDB23-A378-804D-B011-5A1EA8CD6CEB}" name="CZ 4" dataDxfId="524"/>
    <tableColumn id="6" xr3:uid="{F5EB2962-FF18-B64A-8B4A-2FD2AFBB5459}" name="CZ 4 C" dataDxfId="523">
      <calculatedColumnFormula>IECC2009_O_OpaqueDoors[[#This Row],[CZ 5]]</calculatedColumnFormula>
    </tableColumn>
    <tableColumn id="7" xr3:uid="{E9C6D439-3162-4540-A985-C93A3409D3F1}" name="CZ 5" dataDxfId="522"/>
    <tableColumn id="8" xr3:uid="{AAC5D6AF-4B19-9E48-9092-3A631498C476}" name="CZ 6" dataDxfId="521"/>
    <tableColumn id="9" xr3:uid="{D824FF0F-6E81-BC4E-9A16-32519851191B}" name="CZ 7" dataDxfId="520"/>
    <tableColumn id="10" xr3:uid="{72F14D8F-AB39-384F-84A9-987D8E8964F8}" name="CZ 8" dataDxfId="519"/>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879CBC1-C435-5542-B823-1595DF035A5D}" name="IECC2012_R_Roofs" displayName="IECC2012_R_Roofs" ref="Y15:AH18" totalsRowShown="0" headerRowDxfId="518" dataDxfId="516" headerRowBorderDxfId="517" tableBorderDxfId="515">
  <autoFilter ref="Y15:AH18" xr:uid="{00000000-0009-0000-0100-00003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2132154-A33B-1D41-9EC1-29CBC0BFA33C}" name="Climate Zone:" dataDxfId="514"/>
    <tableColumn id="2" xr3:uid="{4BA3544D-72D1-F64A-9BF2-214671A7AFC3}" name="CZ 1" dataDxfId="513"/>
    <tableColumn id="3" xr3:uid="{3E332628-F932-C442-A9B3-85A938999B8B}" name="CZ 2" dataDxfId="512"/>
    <tableColumn id="4" xr3:uid="{0D9C4BCD-26D8-C94B-853D-A7D321F7BE51}" name="CZ 3" dataDxfId="511"/>
    <tableColumn id="5" xr3:uid="{87313B80-EBEC-9149-B181-BF2CDF6D0602}" name="CZ 4" dataDxfId="510"/>
    <tableColumn id="6" xr3:uid="{FEA38754-05F6-4A45-B11D-DDFA3CB6F689}" name="CZ 4 C" dataDxfId="509">
      <calculatedColumnFormula>IECC2012_R_Roofs[[#This Row],[CZ 5]]</calculatedColumnFormula>
    </tableColumn>
    <tableColumn id="7" xr3:uid="{C009512E-4DEB-F746-B3D9-AB9192CD26CF}" name="CZ 5" dataDxfId="508"/>
    <tableColumn id="8" xr3:uid="{44EFB300-B59E-3B4A-8F2A-6042D8B5BE41}" name="CZ 6" dataDxfId="507"/>
    <tableColumn id="9" xr3:uid="{155A3266-4E9D-A744-9906-8FEF49A5B430}" name="CZ 7" dataDxfId="506"/>
    <tableColumn id="10" xr3:uid="{A398A6F6-F66B-DA41-9DCC-7F30055B49C5}" name="CZ 8" dataDxfId="505"/>
  </tableColumns>
  <tableStyleInfo name="TableStyleLight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3ABEF97-193E-DF44-92F7-8CF48B4FD7FA}" name="IECC2012_R_WallsAboveGrade" displayName="IECC2012_R_WallsAboveGrade" ref="Y22:AH26" totalsRowShown="0" headerRowDxfId="504" dataDxfId="502" headerRowBorderDxfId="503" tableBorderDxfId="501">
  <autoFilter ref="Y22:AH26" xr:uid="{00000000-0009-0000-0100-00003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DA05DBB-AE70-D943-BC60-CEF3DD26D146}" name="Climate Zone:" dataDxfId="500"/>
    <tableColumn id="2" xr3:uid="{42C3FF93-E4DB-214D-9F24-C1822F4306AF}" name="CZ 1" dataDxfId="499"/>
    <tableColumn id="3" xr3:uid="{055CA7AE-39AB-5F4C-AE2A-4F85DE4E1B7F}" name="CZ 2" dataDxfId="498"/>
    <tableColumn id="4" xr3:uid="{E8089C33-63B7-7647-B5FF-C31E321315E6}" name="CZ 3" dataDxfId="497"/>
    <tableColumn id="5" xr3:uid="{A8DE21CC-B9B4-5C44-8902-FB02EBFCB867}" name="CZ 4" dataDxfId="496"/>
    <tableColumn id="6" xr3:uid="{3DDC0796-F30E-EB47-9AC7-652FC68038E3}" name="CZ 4 C" dataDxfId="495">
      <calculatedColumnFormula>IECC2012_R_WallsAboveGrade[[#This Row],[CZ 5]]</calculatedColumnFormula>
    </tableColumn>
    <tableColumn id="7" xr3:uid="{1C36139D-3593-6443-BBB0-DB92ECD0A20A}" name="CZ 5" dataDxfId="494"/>
    <tableColumn id="8" xr3:uid="{245F3B0A-CF28-FC4A-BE9F-0030CF5FA230}" name="CZ 6" dataDxfId="493"/>
    <tableColumn id="9" xr3:uid="{63241BDB-2A7A-6C4D-B067-41BFBDCB7CD8}" name="CZ 7" dataDxfId="492"/>
    <tableColumn id="10" xr3:uid="{C4A91F2D-322E-8944-82BC-826EFA23E9CC}" name="CZ 8" dataDxfId="491"/>
  </tableColumns>
  <tableStyleInfo name="TableStyleLight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622BC96-C210-6146-806F-C38A692E26CE}" name="IECC2012_R_WallsBelowGrade" displayName="IECC2012_R_WallsBelowGrade" ref="Y30:AH31" totalsRowShown="0" headerRowDxfId="490" dataDxfId="488" headerRowBorderDxfId="489" tableBorderDxfId="487">
  <autoFilter ref="Y30:AH31" xr:uid="{00000000-0009-0000-0100-00003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404601-4531-6D46-8EE0-E01B91648025}" name="Climate Zone:" dataDxfId="486"/>
    <tableColumn id="2" xr3:uid="{FCC2D4FB-E418-E54B-B7A4-1A60B6260507}" name="CZ 1" dataDxfId="485"/>
    <tableColumn id="3" xr3:uid="{0F0E723C-C03F-1D45-9B94-C2B69DC5BFDA}" name="CZ 2" dataDxfId="484"/>
    <tableColumn id="4" xr3:uid="{61CCF815-77F8-4543-8681-8B6D30159E55}" name="CZ 3" dataDxfId="483"/>
    <tableColumn id="5" xr3:uid="{1697E786-664F-B747-9B68-6584D5DA79A6}" name="CZ 4" dataDxfId="482"/>
    <tableColumn id="6" xr3:uid="{6E8244F6-4129-0548-9DC0-C9BE12EA163F}" name="CZ 4 C" dataDxfId="481">
      <calculatedColumnFormula>IECC2012_R_WallsBelowGrade[CZ 5]</calculatedColumnFormula>
    </tableColumn>
    <tableColumn id="7" xr3:uid="{D4D56011-F8BE-B747-B474-F48DED0FD956}" name="CZ 5" dataDxfId="480"/>
    <tableColumn id="8" xr3:uid="{E48BB045-72A2-9149-9208-069864D4F66D}" name="CZ 6" dataDxfId="479"/>
    <tableColumn id="9" xr3:uid="{82A02938-0E34-0F41-B6CB-B6D1490E63B4}" name="CZ 7" dataDxfId="478"/>
    <tableColumn id="10" xr3:uid="{4B34E7A4-B2BD-8C45-8027-40DE2ECC42FD}" name="CZ 8" dataDxfId="477"/>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668462-4ECA-F64A-A5B2-EB1B25FD08E7}" name="Table124" displayName="Table124" ref="B19:AV99" totalsRowShown="0" headerRowDxfId="1478" tableBorderDxfId="1477">
  <autoFilter ref="B19:AV99" xr:uid="{4E092B9F-A626-4215-B3B1-874D730E0AE9}"/>
  <tableColumns count="47">
    <tableColumn id="1" xr3:uid="{3D8F015F-6623-234C-9D60-2409EF422F91}" name="Column1" dataDxfId="1476"/>
    <tableColumn id="2" xr3:uid="{DE7374C5-6895-6A4C-8FB9-A101E28C6131}" name="Column2" dataDxfId="1475"/>
    <tableColumn id="3" xr3:uid="{EF9AE4C1-89C7-D048-BD4C-BA73F8286D8A}" name="Column3" dataDxfId="1474">
      <calculatedColumnFormula>IF(C20="","",VLOOKUP(C20,$B$7:$R$13,4))</calculatedColumnFormula>
    </tableColumn>
    <tableColumn id="4" xr3:uid="{2CE30998-31D4-8442-81A1-9C92DCB2FBFF}" name="Column4" dataDxfId="1473">
      <calculatedColumnFormula>IF(C20="","",VLOOKUP(C20,$B$7:$R$13,7))</calculatedColumnFormula>
    </tableColumn>
    <tableColumn id="5" xr3:uid="{D2145C3F-5893-B049-ADEB-6DBEFA56EDAB}" name="Column5" dataDxfId="1472">
      <calculatedColumnFormula>IF($C20="","",
IF(AND($R20="Final",VLOOKUP($C20,$B$7:$R$13,8)=0,$D20&lt;=1000),60,
IF(AND($R20="Final",VLOOKUP($C20,$B$7:$R$13,8)=0,$D20&gt;1000),$D20*0.06,
IF(AND($R20="Final",VLOOKUP($C20,$B$7:$R$13,8)&lt;3,$D20&lt;=1000),80,
IF(AND($R20="Final",VLOOKUP($C20,$B$7:$R$13,8)&lt;3,$D20&gt;1000),$D20*0.08,
IF(AND($R20="Final",VLOOKUP($C20,$B$7:$R$13,8)&gt;=3,$D20&lt;=1000),120,
IF(AND($R20="FInal",VLOOKUP($C20,$B$7:$R$13,8)&gt;=3,$D20&gt;1000),$D20*0.12,
IF(AND($R20="Rough-In",VLOOKUP($C20,$B$7:$R$13,8)=0,$D20&lt;=1000),30,
IF(AND($R20="Rough-In",VLOOKUP($C20,$B$7:$R$13,8)=0,$D20&gt;1000),$D20*0.03,
IF(AND($R20="Rough-In",VLOOKUP($C20,$B$7:$R$13,8)&lt;3,$D20&lt;=1000),40,
IF(AND($R20="Rough-In",VLOOKUP($C20,$B$7:$R$13,8)&lt;3,$D20&gt;1000),$D20*0.04,
IF(AND($R20="Rough-In",VLOOKUP($C20,$B$7:$R$13,8)&gt;=3,$D20&lt;=1000),60,
IF(AND($R20="Rough-In",VLOOKUP($C20,$B$7:$R$13,8)&gt;=3,$D20&gt;1000),$D20*0.06,
"")))))))))))))</calculatedColumnFormula>
    </tableColumn>
    <tableColumn id="6" xr3:uid="{A73CA00E-5ADA-D34B-BE4F-84F26FD964DF}" name="Column6" dataDxfId="1471">
      <calculatedColumnFormula>IF($C20="","",IF($D20&lt;1000,40,$D20*0.04))</calculatedColumnFormula>
    </tableColumn>
    <tableColumn id="7" xr3:uid="{F7E0E1E9-89EC-7049-8B6D-9CF2E7F02E62}" name="Column7" dataDxfId="1470">
      <calculatedColumnFormula>IF($C20="","",$E20*0.3)</calculatedColumnFormula>
    </tableColumn>
    <tableColumn id="8" xr3:uid="{616AF71E-5642-924F-B1FD-47B7544E4175}" name="Column8" dataDxfId="1469">
      <calculatedColumnFormula>IF($C20="","",VLOOKUP($C20,$B$7:$R$13,10))</calculatedColumnFormula>
    </tableColumn>
    <tableColumn id="9" xr3:uid="{FBDE05B9-E694-D544-B24A-A253EF7AC267}" name="Column9" dataDxfId="1468">
      <calculatedColumnFormula>IF($C20="","",
IF(VLOOKUP($C20,$B$7:$R$13,12)="Intermittent",100,
IF(AND(VLOOKUP($C20,$B$7:$R$13,12)="Continuous",VLOOKUP($C20,$B$7:$R$13,13)=""),"Volume Above?",
IF(VLOOKUP($C20,$B$7:$R$13,12)="Continuous",((5*VLOOKUP($C20,$B$7:$R$13,13))/60),""))))</calculatedColumnFormula>
    </tableColumn>
    <tableColumn id="10" xr3:uid="{B8C9B55B-D58F-B24E-9ADC-F339BAF89B70}" name="Column10" dataDxfId="1467">
      <calculatedColumnFormula>IF($C20="","",IF(VLOOKUP($C20,$B$7:$R$13,14)="Continuous",20,IF(VLOOKUP($C20,$B$7:$R$13,14)="Intermittent",50,"")))</calculatedColumnFormula>
    </tableColumn>
    <tableColumn id="11" xr3:uid="{FCD2E2C3-2751-E444-B9EB-94A30437B2CE}" name="Column11" dataDxfId="1466">
      <calculatedColumnFormula>IF($C20="","",IF(VLOOKUP($C20,$B$7:$R$13,15)="Continuous",20,IF(VLOOKUP($C20,$B$7:$R$13,15)="Intermittent",50,"")))</calculatedColumnFormula>
    </tableColumn>
    <tableColumn id="12" xr3:uid="{BF7080BA-5CB2-3B42-95AC-9BCAB39FB444}" name="Column12" dataDxfId="1465">
      <calculatedColumnFormula>IF($C20="","",IF(VLOOKUP($C20,$B$7:$R$13,16)="Continuous",20,IF(VLOOKUP($C20,$B$7:$R$13,16)="Intermittent",50,"")))</calculatedColumnFormula>
    </tableColumn>
    <tableColumn id="13" xr3:uid="{F1F503CB-44E2-2C4E-B618-CB57F5CFCE23}" name="Column13" dataDxfId="1464"/>
    <tableColumn id="14" xr3:uid="{04DC3FD3-D9AA-0A40-AB3A-987DB10D4DFF}" name="Column14" dataDxfId="1463"/>
    <tableColumn id="15" xr3:uid="{A5E710E9-7C3F-4E4B-9127-D26E11259D3C}" name="Column15" dataDxfId="1462"/>
    <tableColumn id="16" xr3:uid="{6F91F3CD-6687-8945-8391-A4B65642D3DE}" name="Column16" dataDxfId="1461">
      <calculatedColumnFormula>IF($P20="","",IF($P20&lt;=$F20,"PASS","FAIL"))</calculatedColumnFormula>
    </tableColumn>
    <tableColumn id="17" xr3:uid="{DA965DD5-CCFF-6749-878B-167E2D2AF7AC}" name="Column17" dataDxfId="1460"/>
    <tableColumn id="18" xr3:uid="{FCEE2061-3F5B-A24D-A695-96EE14312CA3}" name="Column18" dataDxfId="1459"/>
    <tableColumn id="19" xr3:uid="{DD1583EE-5B06-924D-9E6C-742DE83A58C1}" name="Column19" dataDxfId="1458">
      <calculatedColumnFormula>IF($S20="","",
IF($S20&lt;=5,"PASS",
IF(AND(VLOOKUP($C20,$B$7:$R$13,17)=1.5,$S20&lt;=6),"PASS",
IF(AND(VLOOKUP($C20,$B$7:$R$13,17)=2,$S20&lt;=7),"PASS",
IF(AND(VLOOKUP($C20,$B$7:$R$13,17)=2.5,$S20&lt;=8),"PASS",
IF(AND(VLOOKUP($C20,$B$7:$R$13,17)=3,$S20&lt;=9),"PASS",
IF(AND(VLOOKUP($C20,$B$7:$R$13,17)=3.5,$S20&lt;=10),"PASS",
IF(AND(VLOOKUP($C20,$B$7:$R$13,17)=4,$S20&lt;=11),"PASS","FAIL"))))))))</calculatedColumnFormula>
    </tableColumn>
    <tableColumn id="20" xr3:uid="{6032F4A4-5E55-8743-B1C4-401A82C1EC65}" name="Column20" dataDxfId="1457"/>
    <tableColumn id="21" xr3:uid="{C79422D4-BD7D-7041-9913-895DD930958D}" name="Column21" dataDxfId="1456">
      <calculatedColumnFormula>IF($U20="","",
IF($U20&lt;=$G20,"PASS","FAIL"))</calculatedColumnFormula>
    </tableColumn>
    <tableColumn id="22" xr3:uid="{24E66E7F-39C0-8F40-9163-978D3AACFF18}" name="Column22" dataDxfId="1455"/>
    <tableColumn id="23" xr3:uid="{DB6D82A7-E3E3-D443-BC95-333CB224CE85}" name="Column23" dataDxfId="1454">
      <calculatedColumnFormula>IF($W20="","",
IF($W20&lt;=$H20,"PASS","FAIL"))</calculatedColumnFormula>
    </tableColumn>
    <tableColumn id="24" xr3:uid="{D8389F7E-61C4-6348-B91A-7F35D16F1194}" name="Column24" dataDxfId="1453"/>
    <tableColumn id="25" xr3:uid="{E3E32B8B-6D4E-5547-9F1C-DAAE252C8A1E}" name="Column25" dataDxfId="1452">
      <calculatedColumnFormula>IF($Y20="","",
IF(AND($Y20&gt;=-5,$Y20&lt;=5),"PASS","FAIL"))</calculatedColumnFormula>
    </tableColumn>
    <tableColumn id="26" xr3:uid="{62E510BC-5244-C041-A629-6835B9CE17C0}" name="Column26" dataDxfId="1451"/>
    <tableColumn id="27" xr3:uid="{D881AF97-1029-F241-B4CF-C5044CC5F1FA}" name="Column27" dataDxfId="1450">
      <calculatedColumnFormula>IF($AA20="","",
IF(AND($I20&gt;=100,($I20*1.15)&lt;$AA20),"FAIL",
IF(AND($I20&lt;100,($I20+15)&lt;$AA20),"FAIL",
IF($AA20&gt;=$I20,"PASS","FAIL"))))</calculatedColumnFormula>
    </tableColumn>
    <tableColumn id="28" xr3:uid="{9FB21737-FF46-D54C-B3C4-A69D56598D99}" name="Column28" dataDxfId="1449"/>
    <tableColumn id="29" xr3:uid="{0B4C7BF6-F4AD-4047-B203-5DE9AFAD8EB6}" name="Column29" dataDxfId="1448">
      <calculatedColumnFormula>IF($AC20="","",
IF($AC20&gt;=$J20,"PASS","FAIL"))</calculatedColumnFormula>
    </tableColumn>
    <tableColumn id="30" xr3:uid="{22819EBE-98D0-CA4E-B53D-CA78A6520356}" name="Column30" dataDxfId="1447"/>
    <tableColumn id="31" xr3:uid="{5FC51851-DE19-6B4D-8005-0724C949E433}" name="Column31" dataDxfId="1446">
      <calculatedColumnFormula>IF($AE20="","",
IF($AE20&gt;=$K20,"PASS","FAIL"))</calculatedColumnFormula>
    </tableColumn>
    <tableColumn id="32" xr3:uid="{D0ED417B-EDEA-0742-808A-170C5E445E13}" name="Column32" dataDxfId="1445"/>
    <tableColumn id="33" xr3:uid="{D10E32FD-55F1-9A4F-9D59-A639FA3EA9D5}" name="Column33" dataDxfId="1444">
      <calculatedColumnFormula>IF($AG20="","",
IF($AG20&gt;=$L20,"PASS","FAIL"))</calculatedColumnFormula>
    </tableColumn>
    <tableColumn id="34" xr3:uid="{61DF1708-572C-E14A-B5FC-8CF666096034}" name="Column34" dataDxfId="1443"/>
    <tableColumn id="35" xr3:uid="{570CFA62-5F95-A94C-9E42-6E7F73E364FF}" name="Column35" dataDxfId="1442">
      <calculatedColumnFormula>IF($AI20="","",
IF($AI20&gt;=$M20,"PASS","FAIL"))</calculatedColumnFormula>
    </tableColumn>
    <tableColumn id="36" xr3:uid="{C03B61B2-2B0A-4A40-B310-E8E46D75B75B}" name="Column36" dataDxfId="1441"/>
    <tableColumn id="37" xr3:uid="{4B9E0F11-E78E-1B49-9911-D17DC18CBF2B}" name="Column37" dataDxfId="1440"/>
    <tableColumn id="38" xr3:uid="{FE8A317F-BFC2-0448-9E71-BB29E2BF6633}" name="Column38" dataDxfId="1439"/>
    <tableColumn id="39" xr3:uid="{53302473-A677-394E-A004-6AD51637023E}" name="Column39" dataDxfId="1438">
      <calculatedColumnFormula>IF($AM20="","",
IF($AM20&lt;=125,"PASS","FAIL"))</calculatedColumnFormula>
    </tableColumn>
    <tableColumn id="40" xr3:uid="{D93574CF-487C-CB4C-A144-9B11CFBCC2CF}" name="Column40" dataDxfId="1437"/>
    <tableColumn id="41" xr3:uid="{973A81AF-BE04-D840-86D3-33247D9750B7}" name="Column41" dataDxfId="1436">
      <calculatedColumnFormula>IF($AO20="","",
IF($AO20&lt;=125,"PASS","FAIL"))</calculatedColumnFormula>
    </tableColumn>
    <tableColumn id="42" xr3:uid="{02495834-033B-9F4F-8364-4E07A4B29240}" name="Column42" dataDxfId="1435"/>
    <tableColumn id="43" xr3:uid="{99A370A6-14D7-AC4F-83C1-40E52B891917}" name="Column43" dataDxfId="1434">
      <calculatedColumnFormula>IF($AQ20="","",
IF(AND($AQ20&gt;=-5,$AQ20&lt;=5),"PASS","FAIL"))</calculatedColumnFormula>
    </tableColumn>
    <tableColumn id="44" xr3:uid="{583FE436-1901-DB4F-9698-80336BF1ACF8}" name="Column44" dataDxfId="1433"/>
    <tableColumn id="45" xr3:uid="{6F1CF2A7-49CA-6148-9006-D5A0B50EAECE}" name="Column45" dataDxfId="1432">
      <calculatedColumnFormula>IF($AS20="","",
IF(AND($AS20&gt;=-5,$AS20&lt;=5),"PASS","FAIL"))</calculatedColumnFormula>
    </tableColumn>
    <tableColumn id="46" xr3:uid="{ADF9FD5A-46D5-254D-86B6-B876E4EBC00A}" name="Column46" dataDxfId="1431"/>
    <tableColumn id="47" xr3:uid="{E061A25A-B21D-2A45-A52C-47C799114AA2}" name="Column47" dataDxfId="1430">
      <calculatedColumnFormula>IF($AU20="","",
IF(AND($AU20&gt;=-5,$AU20&lt;=5),"PASS","FAIL"))</calculatedColumnFormula>
    </tableColumn>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A929B384-64C2-6F4F-A0E8-B474FAE5EAEB}" name="IECC2012_R_Floors" displayName="IECC2012_R_Floors" ref="Y35:AH37" totalsRowShown="0" headerRowDxfId="476" dataDxfId="474" headerRowBorderDxfId="475" tableBorderDxfId="473">
  <autoFilter ref="Y35:AH37" xr:uid="{00000000-0009-0000-0100-00003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0E4B9C6-B6E6-8248-8E71-DD89C0F63B55}" name="Climate Zone:" dataDxfId="472"/>
    <tableColumn id="2" xr3:uid="{A55A9CBC-630A-F84B-B1E4-7E9F67159F6F}" name="CZ 1" dataDxfId="471"/>
    <tableColumn id="3" xr3:uid="{205D6E98-9CA5-D747-B9FA-B9581504ED64}" name="CZ 2" dataDxfId="470"/>
    <tableColumn id="4" xr3:uid="{380D49F8-0F75-B441-9E0E-00BE585FEE77}" name="CZ 3" dataDxfId="469"/>
    <tableColumn id="5" xr3:uid="{9066A907-6D8E-0647-9A59-3CCB33366E62}" name="CZ 4" dataDxfId="468"/>
    <tableColumn id="6" xr3:uid="{96A9263F-09E3-0A4F-BE66-4A9C396CBE68}" name="CZ 4 C" dataDxfId="467">
      <calculatedColumnFormula>IECC2012_R_Floors[[#This Row],[CZ 5]]</calculatedColumnFormula>
    </tableColumn>
    <tableColumn id="7" xr3:uid="{A38FFE19-D19A-A449-A264-9BA8658C63EA}" name="CZ 5" dataDxfId="466"/>
    <tableColumn id="8" xr3:uid="{8DEA7D47-80F4-E44E-96CB-49C05118E9BB}" name="CZ 6" dataDxfId="465"/>
    <tableColumn id="9" xr3:uid="{826CBC7E-542B-9E4E-B8EC-6C093EF27503}" name="CZ 7" dataDxfId="464"/>
    <tableColumn id="10" xr3:uid="{4216A2ED-C94F-7B4D-AE23-59326542C0E7}" name="CZ 8" dataDxfId="463"/>
  </tableColumns>
  <tableStyleInfo name="TableStyleLight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48CE523-9CED-3948-8F11-4E014CD3CE7C}" name="IECC2012_R_SlabOnGradeFloors" displayName="IECC2012_R_SlabOnGradeFloors" ref="Y41:AH43" totalsRowShown="0" headerRowDxfId="462" dataDxfId="460" headerRowBorderDxfId="461" tableBorderDxfId="459">
  <autoFilter ref="Y41:AH43" xr:uid="{00000000-0009-0000-0100-00004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FA65AA-3FCD-574A-A1A4-D4332999E6F0}" name="Climate Zone:" dataDxfId="458"/>
    <tableColumn id="2" xr3:uid="{AA64AB5E-10CA-E048-963D-CDDFD7C3D53F}" name="CZ 1" dataDxfId="457"/>
    <tableColumn id="3" xr3:uid="{3BF82CDD-E051-2243-92D1-2E72D16562BE}" name="CZ 2" dataDxfId="456"/>
    <tableColumn id="4" xr3:uid="{29843D62-D005-0F4A-BD63-BE4837A7B2C3}" name="CZ 3" dataDxfId="455"/>
    <tableColumn id="5" xr3:uid="{AE44B9D4-1028-E54D-ACD6-9391C3D5D123}" name="CZ 4" dataDxfId="454"/>
    <tableColumn id="6" xr3:uid="{CA382123-A3A6-C94F-8679-0803238DD50D}" name="CZ 4 C" dataDxfId="453">
      <calculatedColumnFormula>IECC2012_R_SlabOnGradeFloors[[#This Row],[CZ 5]]</calculatedColumnFormula>
    </tableColumn>
    <tableColumn id="7" xr3:uid="{473661CE-0149-7B42-B6E9-03AA1F2E4B10}" name="CZ 5" dataDxfId="452"/>
    <tableColumn id="8" xr3:uid="{729B5A15-865B-9049-BD8B-BFC6502F866A}" name="CZ 6" dataDxfId="451"/>
    <tableColumn id="9" xr3:uid="{0B6F3238-B01B-2B4A-9C20-2779D9707BED}" name="CZ 7" dataDxfId="450"/>
    <tableColumn id="10" xr3:uid="{9E443FE1-44F6-D141-B3F3-D229523735F0}" name="CZ 8" dataDxfId="449"/>
  </tableColumns>
  <tableStyleInfo name="TableStyleLight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DD53D6-3406-784B-83A2-DF06807130CA}" name="IECC2012_R_OpaqueDoors" displayName="IECC2012_R_OpaqueDoors" ref="Y47:AH49" totalsRowShown="0" headerRowDxfId="448" dataDxfId="446" headerRowBorderDxfId="447" tableBorderDxfId="445">
  <autoFilter ref="Y47:AH49"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C3191D7-FD1B-664D-83B8-2AF3BA681AB1}" name="Climate Zone:" dataDxfId="444"/>
    <tableColumn id="2" xr3:uid="{D301968C-AC99-114F-9BBE-4712E3CBA499}" name="CZ 1" dataDxfId="443"/>
    <tableColumn id="3" xr3:uid="{4F4F3C46-5B1B-1E41-89FF-9CE86DA9B5F7}" name="CZ 2" dataDxfId="442"/>
    <tableColumn id="4" xr3:uid="{671EF981-1A41-C549-96F8-F36522AB0D15}" name="CZ 3" dataDxfId="441"/>
    <tableColumn id="5" xr3:uid="{94C8D2AC-3B4E-B641-B848-2EC048736F03}" name="CZ 4" dataDxfId="440"/>
    <tableColumn id="6" xr3:uid="{D85D5EF6-80FC-CB41-8714-4458B809DDFD}" name="CZ 4 C" dataDxfId="439">
      <calculatedColumnFormula>IECC2012_R_OpaqueDoors[[#This Row],[CZ 5]]</calculatedColumnFormula>
    </tableColumn>
    <tableColumn id="7" xr3:uid="{FEF3DDBB-A215-054B-8681-27A42FF88862}" name="CZ 5" dataDxfId="438"/>
    <tableColumn id="8" xr3:uid="{3E19A91C-4BE1-4A42-B076-CC4C8F1C6934}" name="CZ 6" dataDxfId="437"/>
    <tableColumn id="9" xr3:uid="{DACFB723-ADB1-1247-8B7A-645F57E8BE76}" name="CZ 7" dataDxfId="436"/>
    <tableColumn id="10" xr3:uid="{B19CD5E9-0130-C644-8E21-DCD310FF6548}" name="CZ 8" dataDxfId="435"/>
  </tableColumns>
  <tableStyleInfo name="TableStyleLight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5A8678C-6AC4-AA47-9ACD-A0E17D45D712}" name="IECC2012_O_Roofs" displayName="IECC2012_O_Roofs" ref="Y63:AH66" totalsRowShown="0" headerRowDxfId="434" dataDxfId="432" headerRowBorderDxfId="433" tableBorderDxfId="431">
  <autoFilter ref="Y63:AH66" xr:uid="{00000000-0009-0000-0100-00004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2786A36-B464-6248-B380-C8C89E3D37BC}" name="Climate Zone:" dataDxfId="430"/>
    <tableColumn id="2" xr3:uid="{68AC47B9-9938-F143-BF51-98693459F9DE}" name="CZ 1" dataDxfId="429"/>
    <tableColumn id="3" xr3:uid="{22C9C475-5385-6A4C-A68D-0A69E746E77C}" name="CZ 2" dataDxfId="428"/>
    <tableColumn id="4" xr3:uid="{8104DCB3-3279-FF48-964F-6FFA89D10525}" name="CZ 3" dataDxfId="427"/>
    <tableColumn id="5" xr3:uid="{14FA2F10-48B6-5748-A32B-118D46866CC2}" name="CZ 4" dataDxfId="426"/>
    <tableColumn id="6" xr3:uid="{F7809896-5C40-0548-9370-6CE9DB815A33}" name="CZ 4 C" dataDxfId="425">
      <calculatedColumnFormula>IECC2012_O_Roofs[[#This Row],[CZ 5]]</calculatedColumnFormula>
    </tableColumn>
    <tableColumn id="7" xr3:uid="{A5E737FE-E0D3-EE4D-BE16-C6DF99EFA1FA}" name="CZ 5" dataDxfId="424"/>
    <tableColumn id="8" xr3:uid="{C2DA225A-D613-C34F-A720-B7ED7C5E0A12}" name="CZ 6" dataDxfId="423"/>
    <tableColumn id="9" xr3:uid="{2DCEA003-BC9A-4B4E-A46B-B4A2EA974568}" name="CZ 7" dataDxfId="422"/>
    <tableColumn id="10" xr3:uid="{7D7FE8EF-AE33-3A45-A4F7-E9F5EF6C85A5}" name="CZ 8" dataDxfId="421"/>
  </tableColumns>
  <tableStyleInfo name="TableStyleLight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3B145FC-291F-F549-9D82-CFE4179BDAE7}" name="IECC2012_O_WallsAboveGrade" displayName="IECC2012_O_WallsAboveGrade" ref="Y70:AH74" totalsRowShown="0" headerRowDxfId="420" dataDxfId="418" headerRowBorderDxfId="419" tableBorderDxfId="417">
  <autoFilter ref="Y70:AH74" xr:uid="{00000000-0009-0000-0100-00004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83601E2-1F53-9E45-9202-D599759A4A29}" name="Climate Zone:" dataDxfId="416"/>
    <tableColumn id="2" xr3:uid="{865CA6A4-CCA1-0F4D-93C0-AFEE982A3D5D}" name="CZ 1" dataDxfId="415"/>
    <tableColumn id="3" xr3:uid="{D8304AFC-3DCD-B94E-BCA5-0182DAD6E921}" name="CZ 2" dataDxfId="414"/>
    <tableColumn id="4" xr3:uid="{D0B5BC26-2266-3340-97B4-7E9C5A169E11}" name="CZ 3" dataDxfId="413"/>
    <tableColumn id="5" xr3:uid="{97FB258E-18F4-E04D-85E9-40BC56497F87}" name="CZ 4" dataDxfId="412"/>
    <tableColumn id="6" xr3:uid="{59169125-810A-6945-8815-9BBE4578FCAA}" name="CZ 4 C" dataDxfId="411">
      <calculatedColumnFormula>IECC2012_O_WallsAboveGrade[[#This Row],[CZ 5]]</calculatedColumnFormula>
    </tableColumn>
    <tableColumn id="7" xr3:uid="{356BB995-3A29-C14A-A9A6-8EE80B946FD2}" name="CZ 5" dataDxfId="410"/>
    <tableColumn id="8" xr3:uid="{E9654096-5888-2D41-B681-3CD6152CF412}" name="CZ 6" dataDxfId="409"/>
    <tableColumn id="9" xr3:uid="{9BF7F0BF-0D9A-164A-B119-B5296CEAB3FA}" name="CZ 7" dataDxfId="408"/>
    <tableColumn id="10" xr3:uid="{FE6719C2-BA25-D149-B4B6-3CC2D64D4698}" name="CZ 8" dataDxfId="407"/>
  </tableColumns>
  <tableStyleInfo name="TableStyleLight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E7C4792-E2C6-EB4D-A733-C4FFF0DE9AE3}" name="IECC2012_O_WallsBelowGrade" displayName="IECC2012_O_WallsBelowGrade" ref="Y78:AH79" totalsRowShown="0" headerRowDxfId="406" dataDxfId="404" headerRowBorderDxfId="405" tableBorderDxfId="403">
  <autoFilter ref="Y78:AH79" xr:uid="{00000000-0009-0000-0100-00004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38760CC-FD85-5C43-9DD9-F505B36DC8EA}" name="Climate Zone:" dataDxfId="402"/>
    <tableColumn id="2" xr3:uid="{BEAD8E3D-0E5E-9945-B04D-990A2F4DD28F}" name="CZ 1" dataDxfId="401"/>
    <tableColumn id="3" xr3:uid="{3EA72A47-80EB-5C43-9A23-2DA28E5C5E79}" name="CZ 2" dataDxfId="400"/>
    <tableColumn id="4" xr3:uid="{D13937B1-3718-544C-A1B1-6F47BA161711}" name="CZ 3" dataDxfId="399"/>
    <tableColumn id="5" xr3:uid="{29418534-70EF-6346-A142-2BEE39ECBED0}" name="CZ 4" dataDxfId="398"/>
    <tableColumn id="6" xr3:uid="{0659FFB9-F80F-954D-99AE-479E0A4D1415}" name="CZ 4 C" dataDxfId="397"/>
    <tableColumn id="7" xr3:uid="{68717ED6-1F01-3E4E-B607-F6C2ACF053AB}" name="CZ 5" dataDxfId="396"/>
    <tableColumn id="8" xr3:uid="{3FF2F19E-AF8B-4844-AFCC-BA788B85F736}" name="CZ 6" dataDxfId="395"/>
    <tableColumn id="9" xr3:uid="{CB9FE8E6-CD5E-BC4A-9235-C8A5DB479150}" name="CZ 7" dataDxfId="394"/>
    <tableColumn id="10" xr3:uid="{C9C06B7A-E549-AF4D-9142-10C7227154C7}" name="CZ 8" dataDxfId="393"/>
  </tableColumns>
  <tableStyleInfo name="TableStyleLight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3F4E3DE-E711-9C44-8B51-A73C47F54BF6}" name="IECC2012_O_Floors" displayName="IECC2012_O_Floors" ref="Y83:AH85" totalsRowShown="0" headerRowDxfId="392" dataDxfId="390" headerRowBorderDxfId="391" tableBorderDxfId="389">
  <autoFilter ref="Y83:AH85" xr:uid="{00000000-0009-0000-0100-00004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ED12B34-AE9D-A94F-8F3A-D38C529D249E}" name="Climate Zone:" dataDxfId="388"/>
    <tableColumn id="2" xr3:uid="{3A6CCCC5-C3A1-984A-BDB9-4055B3A23A82}" name="CZ 1" dataDxfId="387"/>
    <tableColumn id="3" xr3:uid="{9A6207FF-BD12-9341-B159-74C54298ACD3}" name="CZ 2" dataDxfId="386"/>
    <tableColumn id="4" xr3:uid="{E113966A-621E-414B-B2DB-7035D03C7581}" name="CZ 3" dataDxfId="385"/>
    <tableColumn id="5" xr3:uid="{3D1EE550-8934-F443-967F-C53EE83C3C48}" name="CZ 4" dataDxfId="384"/>
    <tableColumn id="6" xr3:uid="{BA5316B7-9FB9-A248-B556-CC072F9CCF81}" name="CZ 4 C" dataDxfId="383">
      <calculatedColumnFormula>IECC2012_O_Floors[[#This Row],[CZ 5]]</calculatedColumnFormula>
    </tableColumn>
    <tableColumn id="7" xr3:uid="{365CC3CE-1D5E-5443-A697-A6CEF64CCFF9}" name="CZ 5" dataDxfId="382"/>
    <tableColumn id="8" xr3:uid="{D22C408F-E0A4-6342-A0AE-8BF017F45B8C}" name="CZ 6" dataDxfId="381"/>
    <tableColumn id="9" xr3:uid="{7D4F2461-3CDA-D946-BC44-7E26948EBAFA}" name="CZ 7" dataDxfId="380"/>
    <tableColumn id="10" xr3:uid="{A2991296-B877-0D48-9FD3-E6CCA2D08695}" name="CZ 8" dataDxfId="379"/>
  </tableColumns>
  <tableStyleInfo name="TableStyleLight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A59EDDF-934E-8B4F-A8B5-E4411B6B7EEB}" name="IECC2012_O_SlabOnGradeFloors" displayName="IECC2012_O_SlabOnGradeFloors" ref="Y89:AH91" totalsRowShown="0" headerRowDxfId="378" dataDxfId="376" headerRowBorderDxfId="377" tableBorderDxfId="375">
  <autoFilter ref="Y89:AH91" xr:uid="{00000000-0009-0000-0100-00004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F1BC767-2799-DF4B-9722-64D5D0A42A63}" name="Climate Zone:" dataDxfId="374"/>
    <tableColumn id="2" xr3:uid="{DAE239B6-7308-0244-8D53-40CD4F694B32}" name="CZ 1" dataDxfId="373"/>
    <tableColumn id="3" xr3:uid="{01CD3FE3-1D30-E649-BDE1-FEDC3CE6C3A7}" name="CZ 2" dataDxfId="372"/>
    <tableColumn id="4" xr3:uid="{B9BDBC6E-B525-3D47-A8C1-3A957F5DBB9B}" name="CZ 3" dataDxfId="371"/>
    <tableColumn id="5" xr3:uid="{9A8F6708-1809-BE4F-9BA6-C25B16ECD18D}" name="CZ 4" dataDxfId="370"/>
    <tableColumn id="6" xr3:uid="{6CB66446-8526-1846-B5F5-3B7515EEE659}" name="CZ 4 C" dataDxfId="369">
      <calculatedColumnFormula>IECC2012_O_SlabOnGradeFloors[[#This Row],[CZ 5]]</calculatedColumnFormula>
    </tableColumn>
    <tableColumn id="7" xr3:uid="{59B63F2F-598C-D240-8DEB-B43D97818C0A}" name="CZ 5" dataDxfId="368"/>
    <tableColumn id="8" xr3:uid="{C41A0A3B-C353-9044-87AE-A81691A11F32}" name="CZ 6" dataDxfId="367"/>
    <tableColumn id="9" xr3:uid="{EB863998-1012-9248-BBC7-FBC6AE228AFB}" name="CZ 7" dataDxfId="366"/>
    <tableColumn id="10" xr3:uid="{1EDE4241-3238-EB45-9907-D4827EFA3276}" name="CZ 8" dataDxfId="365"/>
  </tableColumns>
  <tableStyleInfo name="TableStyleLight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1AEA6AC-428C-994B-9178-D53E2F5DC284}" name="IECC2012_O_OpaqueDoors" displayName="IECC2012_O_OpaqueDoors" ref="Y95:AH97" totalsRowShown="0" headerRowDxfId="364" dataDxfId="362" headerRowBorderDxfId="363" tableBorderDxfId="361">
  <autoFilter ref="Y95:AH97" xr:uid="{00000000-0009-0000-0100-00004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8271769-6FE2-4D4A-BD98-75366BC9EFA8}" name="Climate Zone:" dataDxfId="360"/>
    <tableColumn id="2" xr3:uid="{E1BE26B5-A9FD-2A4D-A558-F4CC385ECBD0}" name="CZ 1" dataDxfId="359"/>
    <tableColumn id="3" xr3:uid="{AAF77F16-B37D-E143-9AFB-225FAEB1A834}" name="CZ 2" dataDxfId="358"/>
    <tableColumn id="4" xr3:uid="{B87A0856-CD38-F44C-929D-50BD7B5E2CAB}" name="CZ 3" dataDxfId="357"/>
    <tableColumn id="5" xr3:uid="{5323A7C5-6DE7-4B4E-9FC0-4421CD6554DE}" name="CZ 4" dataDxfId="356"/>
    <tableColumn id="6" xr3:uid="{450737EA-8F51-EC4A-A00F-FAA169F8E01D}" name="CZ 4 C" dataDxfId="355">
      <calculatedColumnFormula>IECC2012_O_OpaqueDoors[[#This Row],[CZ 5]]</calculatedColumnFormula>
    </tableColumn>
    <tableColumn id="7" xr3:uid="{375B9E28-2A99-9D4C-91F6-CE65B9CD1F16}" name="CZ 5" dataDxfId="354"/>
    <tableColumn id="8" xr3:uid="{E6738425-04BB-FA42-81E7-5BE9B81700C4}" name="CZ 6" dataDxfId="353"/>
    <tableColumn id="9" xr3:uid="{18434350-10FC-0944-A8C3-CC470D35904A}" name="CZ 7" dataDxfId="352"/>
    <tableColumn id="10" xr3:uid="{B11430CD-224E-134D-8799-00F8DA282B55}" name="CZ 8" dataDxfId="351"/>
  </tableColumns>
  <tableStyleInfo name="TableStyleLight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3D7AA515-E328-FC4D-93D4-7E8BF951E9A0}" name="ESRefDesign_Fenestration_V1" displayName="ESRefDesign_Fenestration_V1" ref="AM4:AV12" totalsRowShown="0" headerRowDxfId="350" dataDxfId="348" headerRowBorderDxfId="349" tableBorderDxfId="347">
  <autoFilter ref="AM4:AV12" xr:uid="{00000000-0009-0000-0100-00004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6ED9524-96FF-9B42-867B-8A19972E33DF}" name="Climate Zone:" dataDxfId="346"/>
    <tableColumn id="2" xr3:uid="{4B9BFB17-01BE-014C-AFA3-E37428BD6C45}" name="CZ 1" dataDxfId="345"/>
    <tableColumn id="3" xr3:uid="{63BB62C8-9BA9-C34A-9A31-D824CD22E078}" name="CZ 2" dataDxfId="344"/>
    <tableColumn id="4" xr3:uid="{C89C7014-0298-EA42-A318-B723529A760D}" name="CZ 3" dataDxfId="343"/>
    <tableColumn id="5" xr3:uid="{C45F2096-2DB9-7D4C-979B-055DF6A3D1CE}" name="CZ 4" dataDxfId="342"/>
    <tableColumn id="6" xr3:uid="{365B64D1-BBBC-2A41-A21D-D17A8326098E}" name="CZ 4 C" dataDxfId="341"/>
    <tableColumn id="7" xr3:uid="{21FAE094-D975-9845-8198-91AD7C70EB73}" name="CZ 5" dataDxfId="340"/>
    <tableColumn id="8" xr3:uid="{C2D8A443-8BA0-0343-98E0-5A67304733B2}" name="CZ 6" dataDxfId="339"/>
    <tableColumn id="9" xr3:uid="{BECAE065-40FB-CC4B-927D-E5D0CAD57A11}" name="CZ 7" dataDxfId="338"/>
    <tableColumn id="10" xr3:uid="{4A45B515-6403-294B-8DE5-BF559D1C86DA}" name="CZ 8" dataDxfId="337"/>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2924EEF-7D27-0B47-B291-2FDA415FC0F4}" name="Table128" displayName="Table128" ref="B6:BC13" totalsRowShown="0" headerRowDxfId="1429" dataDxfId="1428" tableBorderDxfId="1427">
  <autoFilter ref="B6:BC13" xr:uid="{64D93EF3-A6E0-4F18-8E5A-E8BF5073FA15}"/>
  <tableColumns count="54">
    <tableColumn id="1" xr3:uid="{CAAC1563-DDF8-E04C-B52E-579E7DF41B25}" name="Column1" dataDxfId="1426"/>
    <tableColumn id="2" xr3:uid="{C42D1E26-10E3-0B4B-98C7-2CB42AB1130A}" name="Column2" dataDxfId="1425"/>
    <tableColumn id="3" xr3:uid="{B10C8716-A0DB-5B44-BEC4-981995270D77}" name="Column3" dataDxfId="1424"/>
    <tableColumn id="4" xr3:uid="{E48C4FC2-4A9D-EC46-8E69-A7BB8D4AD2B8}" name="Column4" dataDxfId="1423"/>
    <tableColumn id="5" xr3:uid="{665F27E3-7B59-DF46-BC2C-6A9A14EE3B08}" name="Column5" dataDxfId="1422"/>
    <tableColumn id="6" xr3:uid="{F898D303-50A6-4045-A77C-AA6588363015}" name="Column6" dataDxfId="1421"/>
    <tableColumn id="7" xr3:uid="{AED808D6-E24A-BD4B-9E92-75FB53A91548}" name="Column7" dataDxfId="1420">
      <calculatedColumnFormula>IF($B7="","",2*$E7+$F7*$G7)</calculatedColumnFormula>
    </tableColumn>
    <tableColumn id="8" xr3:uid="{45FD7713-7FC7-8E41-AE98-A39E7DCABB81}" name="Column8" dataDxfId="1419"/>
    <tableColumn id="9" xr3:uid="{25561AD0-D186-164A-8C0D-786B7375F114}" name="Column9" dataDxfId="1418"/>
    <tableColumn id="10" xr3:uid="{03947E5F-E08A-7341-A953-9E8BC3A55439}" name="Column10" dataDxfId="1417">
      <calculatedColumnFormula>IF($B7="","",0.01*$E7+7.5*($C7+1))</calculatedColumnFormula>
    </tableColumn>
    <tableColumn id="11" xr3:uid="{2093EDCC-CBDF-AD40-BCF8-95AC166C9F5C}" name="Column11" dataDxfId="1416">
      <calculatedColumnFormula>IF($B7="","",
IF(AND(($K7&gt;=100),(($K7*1.15)&lt;$J7)),"FAIL",
IF(AND(($K7&lt;100),(($K7+15)&lt;$J7)),"FAIL",
IF($J7&gt;=$K7,"PASS",
IF(J7&lt;K7,"FAIL",
"")))))</calculatedColumnFormula>
    </tableColumn>
    <tableColumn id="12" xr3:uid="{526E7054-9DE8-374F-A811-F95B51AEFD8E}" name="Column12" dataDxfId="1415"/>
    <tableColumn id="13" xr3:uid="{C5E91C49-310D-A341-90E2-E97933C4FC41}" name="Column13" dataDxfId="1414">
      <calculatedColumnFormula>IF(M7="Intermittent","N/A","")</calculatedColumnFormula>
    </tableColumn>
    <tableColumn id="14" xr3:uid="{79F3B7D9-9C83-1E4D-890A-0B17C796787E}" name="Column14" dataDxfId="1413"/>
    <tableColumn id="15" xr3:uid="{5E1D2AB7-1ACC-9B4A-A851-D878D333FF02}" name="Column15" dataDxfId="1412"/>
    <tableColumn id="16" xr3:uid="{ECE41772-4204-D742-8EED-08E2EAFCF4C8}" name="Column16" dataDxfId="1411"/>
    <tableColumn id="17" xr3:uid="{5025897C-5DA7-1B4B-8E5B-E86173DDA371}" name="Column17" dataDxfId="1410"/>
    <tableColumn id="18" xr3:uid="{597E8F92-9F38-6541-8DDD-ADFA4B2CD3D4}" name="Column18" dataDxfId="1409"/>
    <tableColumn id="19" xr3:uid="{5BDDFE6B-6C9B-514B-8DFB-AB95DE1A657F}" name="Column19" dataDxfId="1408"/>
    <tableColumn id="20" xr3:uid="{33D8D68C-BAC5-BE4A-84D9-48191272745C}" name="Column20" dataDxfId="1407"/>
    <tableColumn id="21" xr3:uid="{DC98C245-AAE6-4A4A-ACA2-0B9C1260D5A5}" name="Column21" dataDxfId="1406"/>
    <tableColumn id="22" xr3:uid="{ADC3A945-02BD-3642-A84A-DC73D5590C46}" name="Column22" dataDxfId="1405"/>
    <tableColumn id="23" xr3:uid="{AFEEAF14-9CFC-A14E-8033-4E17552BBC1F}" name="Column23" dataDxfId="1404"/>
    <tableColumn id="24" xr3:uid="{360DE9E9-6BFF-7A4D-B4F7-130E90C578FB}" name="Column24" dataDxfId="1403"/>
    <tableColumn id="25" xr3:uid="{B48E9DBF-8A66-EC47-B5EA-F4B68E6E0EE2}" name="Column25" dataDxfId="1402"/>
    <tableColumn id="26" xr3:uid="{6DA6494B-9B7B-544D-A892-FB973F368A9E}" name="Column26" dataDxfId="1401"/>
    <tableColumn id="27" xr3:uid="{AF4E9312-4D79-3642-869E-98142D000248}" name="Column27" dataDxfId="1400"/>
    <tableColumn id="28" xr3:uid="{F27BFDA2-F611-9547-84BA-DA993103AAAA}" name="Column28" dataDxfId="1399"/>
    <tableColumn id="29" xr3:uid="{EC5B6068-3320-F84C-AFFE-4A4D34C4A0E9}" name="Column29" dataDxfId="1398"/>
    <tableColumn id="30" xr3:uid="{927DEDC1-657A-164B-8C50-4B27BE84F486}" name="Column30" dataDxfId="1397"/>
    <tableColumn id="31" xr3:uid="{1BF0E891-81F7-8543-AE03-C0221CC6B8D2}" name="Column31" dataDxfId="1396"/>
    <tableColumn id="32" xr3:uid="{D873FA48-14B9-1645-95B2-CBD1A7F95B8F}" name="Column32" dataDxfId="1395"/>
    <tableColumn id="33" xr3:uid="{FF15BBE5-505D-DE40-B680-A84540160634}" name="Column33" dataDxfId="1394"/>
    <tableColumn id="34" xr3:uid="{13F8294C-F316-7C46-8FAB-7E2C42D1C5F3}" name="Column34" dataDxfId="1393"/>
    <tableColumn id="35" xr3:uid="{E1FDCAE1-3E7D-6441-8358-FB6554188434}" name="Column35" dataDxfId="1392"/>
    <tableColumn id="36" xr3:uid="{F90F39DB-913E-084B-9A50-EAA5E1CD1259}" name="Column36" dataDxfId="1391"/>
    <tableColumn id="37" xr3:uid="{93461AA5-1B6B-AF48-8504-B4987C3664B9}" name="Column37" dataDxfId="1390"/>
    <tableColumn id="38" xr3:uid="{6BCDE737-8576-E74D-B761-A04601DCDFE6}" name="Column38" dataDxfId="1389"/>
    <tableColumn id="39" xr3:uid="{3CDE4235-C957-864E-A756-078212A54DFC}" name="Column39" dataDxfId="1388"/>
    <tableColumn id="40" xr3:uid="{B5AEB1B3-586D-EB4D-B547-32E048131CB7}" name="Column40" dataDxfId="1387"/>
    <tableColumn id="41" xr3:uid="{7AEA2E5D-60C9-A242-A279-4751E656EFCD}" name="Column41" dataDxfId="1386"/>
    <tableColumn id="42" xr3:uid="{987B1C65-1DD2-6C4F-98F6-CD87C17DAA8E}" name="Column42" dataDxfId="1385"/>
    <tableColumn id="43" xr3:uid="{EE2D21D4-E5D5-2545-9D2E-C4DCD24E4DC0}" name="Column43" dataDxfId="1384"/>
    <tableColumn id="44" xr3:uid="{7C141FD1-B410-DA42-8601-0D27BF945077}" name="Column44" dataDxfId="1383"/>
    <tableColumn id="45" xr3:uid="{78CDFB03-8B0D-9A43-9421-56C6D35FC03D}" name="Column45" dataDxfId="1382"/>
    <tableColumn id="46" xr3:uid="{EEB84DAD-B65E-CF4E-ABC0-A0B59E3CD06E}" name="Column46" dataDxfId="1381"/>
    <tableColumn id="47" xr3:uid="{B4BF3374-6DD1-E242-908D-420D00FFD48C}" name="Column47" dataDxfId="1380"/>
    <tableColumn id="48" xr3:uid="{C41BA736-D730-CA4F-83ED-2EB034FAF692}" name="Column48" dataDxfId="1379"/>
    <tableColumn id="49" xr3:uid="{290B71D4-6BE7-124E-89E5-2F8710419FA2}" name="Column49" dataDxfId="1378"/>
    <tableColumn id="50" xr3:uid="{46D12D1F-5641-604F-A74D-441A00156AAE}" name="Column50" dataDxfId="1377"/>
    <tableColumn id="51" xr3:uid="{88E02351-9A95-654D-9BC8-6D698672D6A3}" name="Column51" dataDxfId="1376"/>
    <tableColumn id="52" xr3:uid="{2D522FA4-C69B-E841-8D11-1C8415B39E6D}" name="Column52" dataDxfId="1375"/>
    <tableColumn id="53" xr3:uid="{D7384DE5-7D85-6F47-8E83-FF82B37CD561}" name="Column53" dataDxfId="1374"/>
    <tableColumn id="54" xr3:uid="{435B8B75-FD8A-3A48-963C-3AA3B6F0889B}" name="Column54" dataDxfId="1373"/>
  </tableColumns>
  <tableStyleInfo name="Table Style 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0A7E84F-DDEE-3047-AF8D-FDADC80CB521}" name="ESRefDesign_FenestrationAW_V1" displayName="ESRefDesign_FenestrationAW_V1" ref="AM16:AV19" totalsRowShown="0" headerRowDxfId="336" dataDxfId="334" headerRowBorderDxfId="335" tableBorderDxfId="333">
  <autoFilter ref="AM16:AV19" xr:uid="{00000000-0009-0000-0100-00004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D147174-8B38-6943-939F-397783307DE5}" name="Climate Zone:" dataDxfId="332"/>
    <tableColumn id="2" xr3:uid="{263A1E98-39A3-8145-93BF-FBDDCE2BD401}" name="CZ 1" dataDxfId="331"/>
    <tableColumn id="3" xr3:uid="{F5AC5765-0A67-0149-B90E-DC99EA5BD69D}" name="CZ 2" dataDxfId="330"/>
    <tableColumn id="4" xr3:uid="{A5E68136-D780-1E41-8062-6953A1A541BA}" name="CZ 3" dataDxfId="329"/>
    <tableColumn id="5" xr3:uid="{444DDF2E-D8BF-E94B-BACC-65203F4ABA0E}" name="CZ 4" dataDxfId="328"/>
    <tableColumn id="6" xr3:uid="{016AFE10-8B3F-4B40-AB0D-9DBBEFEE94F4}" name="CZ 4 C" dataDxfId="327"/>
    <tableColumn id="7" xr3:uid="{7DEC9E01-FEE9-8F44-B339-F45C10D10316}" name="CZ 5" dataDxfId="326"/>
    <tableColumn id="8" xr3:uid="{191B2F48-2675-3347-B494-6BAB9FD78A19}" name="CZ 6" dataDxfId="325"/>
    <tableColumn id="9" xr3:uid="{1654C14D-00C4-8342-8C5C-A0862FA1C0FD}" name="CZ 7" dataDxfId="324"/>
    <tableColumn id="10" xr3:uid="{0F1F5FDB-192E-F14E-B13E-5F2F021F094C}" name="CZ 8" dataDxfId="323"/>
  </tableColumns>
  <tableStyleInfo name="TableStyleLight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B387B2A-0EAB-9048-9AF2-01F23139D267}" name="IECC2009_Fenestration_NotAW_Windows" displayName="IECC2009_Fenestration_NotAW_Windows" ref="AM23:AV33" totalsRowShown="0" headerRowDxfId="322" dataDxfId="321" tableBorderDxfId="320">
  <autoFilter ref="AM23:AV33" xr:uid="{00000000-0009-0000-0100-00004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73DEE7B-5C89-F144-96FA-B5F1501F651D}" name="Climate Zone:" dataDxfId="319"/>
    <tableColumn id="2" xr3:uid="{97B23BA0-77A4-B146-BCD4-EF565143AE47}" name="CZ 1" dataDxfId="318"/>
    <tableColumn id="3" xr3:uid="{7837D9EE-EE04-B54D-A6C2-67720A437F26}" name="CZ 2" dataDxfId="317"/>
    <tableColumn id="4" xr3:uid="{A862FC4B-E963-2E4D-B88E-07C8187B2C4C}" name="CZ 3" dataDxfId="316"/>
    <tableColumn id="5" xr3:uid="{88C1E742-287F-194B-B781-81C1695D40FC}" name="CZ 4" dataDxfId="315"/>
    <tableColumn id="6" xr3:uid="{8F036E69-9DC9-1349-B478-4C1FC975D28C}" name="CZ 4 C" dataDxfId="314"/>
    <tableColumn id="7" xr3:uid="{153F6D2C-94A0-6C4D-BA8C-2F84C3FFF0E4}" name="CZ 5" dataDxfId="313"/>
    <tableColumn id="8" xr3:uid="{B0D14F99-AC8D-DE43-8CDA-EF35208EE4F0}" name="CZ 6" dataDxfId="312"/>
    <tableColumn id="9" xr3:uid="{F136C1AF-B388-D343-BAF1-A8EAA3F0DFAA}" name="CZ 7" dataDxfId="311"/>
    <tableColumn id="10" xr3:uid="{94C5A990-B0CB-104C-95D3-BAEC4A000F44}" name="CZ 8" dataDxfId="310"/>
  </tableColumns>
  <tableStyleInfo name="TableStyleLight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7D0ABC2A-7907-9C41-B95E-72F64E1E8125}" name="IECC2009_Fenestration_AW_Windows" displayName="IECC2009_Fenestration_AW_Windows" ref="AM37:AV46" totalsRowShown="0" headerRowDxfId="309" dataDxfId="307" headerRowBorderDxfId="308" tableBorderDxfId="306">
  <autoFilter ref="AM37:AV46" xr:uid="{00000000-0009-0000-0100-00005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0E07DC-2815-AC4C-A1AC-80BF17A8B7A3}" name="Climate Zone:" dataDxfId="305"/>
    <tableColumn id="2" xr3:uid="{2C346BC1-3BDD-AB49-B0E9-7A5F9669AE3B}" name="CZ 1" dataDxfId="304"/>
    <tableColumn id="3" xr3:uid="{AA00E9BC-8311-1643-A7D2-533E9F61BE3B}" name="CZ 2" dataDxfId="303"/>
    <tableColumn id="4" xr3:uid="{30690A01-8FE7-A04D-BDB4-96738C0F99EE}" name="CZ 3" dataDxfId="302"/>
    <tableColumn id="5" xr3:uid="{DDE1BEBD-5655-3D4F-BB44-D92FDB3A6E7F}" name="CZ 4" dataDxfId="301"/>
    <tableColumn id="6" xr3:uid="{C8A8A0F1-C242-2C4E-B59B-7D69839E5C44}" name="CZ 4 C" dataDxfId="300"/>
    <tableColumn id="7" xr3:uid="{13C04671-A728-E04A-BE13-025E1301F460}" name="CZ 5" dataDxfId="299"/>
    <tableColumn id="8" xr3:uid="{6972148A-B41B-DE4F-A8DC-D1FDD0F29356}" name="CZ 6" dataDxfId="298"/>
    <tableColumn id="9" xr3:uid="{DC0CC910-7229-6344-BA10-602F86FE9D6F}" name="CZ 7" dataDxfId="297"/>
    <tableColumn id="10" xr3:uid="{F8A1C20E-8DF6-0A41-8C70-7E891296350B}" name="CZ 8" dataDxfId="296"/>
  </tableColumns>
  <tableStyleInfo name="TableStyleLight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98B3343-11CB-1D48-96D8-C880BB002A8D}" name="IECC2009_Equivalent_Ufactors" displayName="IECC2009_Equivalent_Ufactors" ref="AM50:AV58" totalsRowShown="0" headerRowDxfId="295" dataDxfId="294" tableBorderDxfId="293">
  <autoFilter ref="AM50:AV58" xr:uid="{00000000-0009-0000-0100-00005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F60247B-3364-3E46-9AE5-4DB3DE03ED0A}" name="Climate Zone:" dataDxfId="292"/>
    <tableColumn id="2" xr3:uid="{82ED1E9A-A33F-FF4B-A69C-4119B8F6A18D}" name="CZ 1" dataDxfId="291"/>
    <tableColumn id="3" xr3:uid="{B7097856-CB00-DF4E-A1D9-53FD46AB7D6B}" name="CZ 2" dataDxfId="290"/>
    <tableColumn id="4" xr3:uid="{4DD9AD17-143F-724C-83BA-6F6983DF5982}" name="CZ 3" dataDxfId="289"/>
    <tableColumn id="5" xr3:uid="{CB7812F6-E8FE-DF4D-BA0F-D1A55D6CE12F}" name="CZ 4" dataDxfId="288"/>
    <tableColumn id="6" xr3:uid="{8DC845BF-F667-7345-887D-A04E022A2AE3}" name="CZ 4 C" dataDxfId="287"/>
    <tableColumn id="7" xr3:uid="{647AD09F-CE85-DD49-A6A0-B454FA7C1353}" name="CZ 5" dataDxfId="286"/>
    <tableColumn id="8" xr3:uid="{2B7FCE72-60DC-524C-991B-2FAC4B4B2FFE}" name="CZ 6" dataDxfId="285"/>
    <tableColumn id="9" xr3:uid="{34F3C78A-8A4B-5546-9699-BCF63FC794E5}" name="CZ 7" dataDxfId="284"/>
    <tableColumn id="10" xr3:uid="{8D2E2D69-A85E-7349-B434-F576A323C246}" name="CZ 8" dataDxfId="283"/>
  </tableColumns>
  <tableStyleInfo name="TableStyleLight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8661519-B663-7D46-8196-AFD838607EEB}" name="IECC2009_RU_Roof" displayName="IECC2009_RU_Roof" ref="BJ15:BS18" totalsRowShown="0" headerRowDxfId="282" dataDxfId="280" headerRowBorderDxfId="281" tableBorderDxfId="279">
  <autoFilter ref="BJ15:BS18"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A2902C8-5034-134D-B801-C3A3F492D901}" name="Climate Zone:" dataDxfId="278"/>
    <tableColumn id="2" xr3:uid="{9150A10F-48A7-DC4C-AF19-1D410DEE0351}" name="CZ 1" dataDxfId="277"/>
    <tableColumn id="3" xr3:uid="{ABEFC8D0-673D-B046-83D5-44F2C81CD414}" name="CZ 2" dataDxfId="276"/>
    <tableColumn id="4" xr3:uid="{EC122FB7-8924-3943-B6EA-CCB38DB2F77D}" name="CZ 3" dataDxfId="275"/>
    <tableColumn id="5" xr3:uid="{3C0B7028-DB23-FE4E-A1F1-FF936053674A}" name="CZ 4" dataDxfId="274"/>
    <tableColumn id="6" xr3:uid="{D3452BD2-CD18-2642-8241-15DA603361B6}" name="CZ 4 C" dataDxfId="273">
      <calculatedColumnFormula>IECC2009_RU_Roof[[#This Row],[CZ 5]]</calculatedColumnFormula>
    </tableColumn>
    <tableColumn id="7" xr3:uid="{79F569CA-AC6B-264E-8633-0DB3538207C6}" name="CZ 5" dataDxfId="272"/>
    <tableColumn id="8" xr3:uid="{67183873-D2DF-9642-ADBE-5F86AB41AFD6}" name="CZ 6" dataDxfId="271"/>
    <tableColumn id="9" xr3:uid="{17354D25-860A-044C-8AE3-DDB73C01D1BF}" name="CZ 7" dataDxfId="270"/>
    <tableColumn id="10" xr3:uid="{649C77B4-2CAE-8648-A843-E01C549FA9C4}" name="CZ 8" dataDxfId="269"/>
  </tableColumns>
  <tableStyleInfo name="TableStyleLight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6CC7632-2309-004D-B48C-C679FFBC5E37}" name="IECC2009_RU_WallAboveGrade" displayName="IECC2009_RU_WallAboveGrade" ref="BJ22:BS26" totalsRowShown="0" headerRowDxfId="268" dataDxfId="266" headerRowBorderDxfId="267" tableBorderDxfId="265">
  <autoFilter ref="BJ22:BS26" xr:uid="{00000000-0009-0000-0100-00004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F16588B-D803-AB4D-89A7-887B92F66562}" name="Climate Zone:" dataDxfId="264"/>
    <tableColumn id="2" xr3:uid="{ABDADC2E-AD45-3A47-81A5-61FCC61A648C}" name="CZ 1" dataDxfId="263"/>
    <tableColumn id="3" xr3:uid="{52851740-C02F-124D-BCD8-87C7718D88F4}" name="CZ 2" dataDxfId="262"/>
    <tableColumn id="4" xr3:uid="{33BD6478-18DF-234E-AC94-028BB11012A1}" name="CZ 3" dataDxfId="261"/>
    <tableColumn id="5" xr3:uid="{41C98359-4615-9647-8B55-12975438ED97}" name="CZ 4" dataDxfId="260"/>
    <tableColumn id="6" xr3:uid="{3BD2FF9F-8687-8942-846A-1D81CC4337B0}" name="CZ 4 C" dataDxfId="259"/>
    <tableColumn id="7" xr3:uid="{11777EE8-A47A-3E46-B412-FB8731C0146B}" name="CZ 5" dataDxfId="258"/>
    <tableColumn id="8" xr3:uid="{7117E71D-D7F6-7E44-B0F1-BF474EE43787}" name="CZ 6" dataDxfId="257"/>
    <tableColumn id="9" xr3:uid="{F0061ADB-E723-0C41-894C-98541F6B44C7}" name="CZ 7" dataDxfId="256"/>
    <tableColumn id="10" xr3:uid="{0AF6FBDA-FAD1-1141-8083-C612CF2C86D9}" name="CZ 8" dataDxfId="255"/>
  </tableColumns>
  <tableStyleInfo name="TableStyleLight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F4793EE-E5A0-3641-9364-0772B8D851D5}" name="IECC2009_RU_WallBelowGrade" displayName="IECC2009_RU_WallBelowGrade" ref="BJ30:BS31" totalsRowShown="0" headerRowDxfId="254" dataDxfId="252" headerRowBorderDxfId="253" tableBorderDxfId="251">
  <autoFilter ref="BJ30:BS31" xr:uid="{00000000-0009-0000-0100-00004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6F424D3-2090-F44C-876C-74B418D85C8F}" name="Climate Zone:" dataDxfId="250"/>
    <tableColumn id="2" xr3:uid="{19F69A3D-C2EF-AF48-A326-3C36C1660ABB}" name="CZ 1" dataDxfId="249"/>
    <tableColumn id="3" xr3:uid="{FCB2900E-D0B1-F24A-9381-1A9B9361512F}" name="CZ 2" dataDxfId="248"/>
    <tableColumn id="4" xr3:uid="{4FB5ED4E-2881-8140-9B07-B5A2608411BF}" name="CZ 3" dataDxfId="247"/>
    <tableColumn id="5" xr3:uid="{9EE2B6A6-1034-7D45-B6D4-8DB6C576380F}" name="CZ 4" dataDxfId="246"/>
    <tableColumn id="6" xr3:uid="{8CCE1266-C57A-4546-9CC7-CC0F660F59F9}" name="CZ 4 C" dataDxfId="245"/>
    <tableColumn id="7" xr3:uid="{9BB57426-8BA4-9B40-8144-3004043E60D1}" name="CZ 5" dataDxfId="244"/>
    <tableColumn id="8" xr3:uid="{E3631941-0E8F-8249-8C0E-17C04F7E6200}" name="CZ 6" dataDxfId="243"/>
    <tableColumn id="9" xr3:uid="{C55B1807-A56F-7547-8AD3-CE90B50925C1}" name="CZ 7" dataDxfId="242"/>
    <tableColumn id="10" xr3:uid="{3F02A54C-6D83-0049-994F-DE09DB78296E}" name="CZ 8" dataDxfId="241"/>
  </tableColumns>
  <tableStyleInfo name="TableStyleLight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574D95B-7BAF-7D44-B86B-A85E843A2DEB}" name="IECC2009_RU_Floor" displayName="IECC2009_RU_Floor" ref="BJ35:BS37" totalsRowShown="0" headerRowDxfId="240" dataDxfId="238" headerRowBorderDxfId="239" tableBorderDxfId="237">
  <autoFilter ref="BJ35:BS37" xr:uid="{00000000-0009-0000-0100-00005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D69806-8DC9-0340-80B0-2E5C88D9B4EF}" name="Climate Zone:" dataDxfId="236"/>
    <tableColumn id="2" xr3:uid="{97B478AC-A042-934C-B5DF-FBF7089A9DC8}" name="CZ 1" dataDxfId="235"/>
    <tableColumn id="3" xr3:uid="{2CE7CB34-4EF5-2C47-9BF6-285F9DE661CB}" name="CZ 2" dataDxfId="234"/>
    <tableColumn id="4" xr3:uid="{28EFFE5E-7633-B448-B535-96EF2BBFBF79}" name="CZ 3" dataDxfId="233"/>
    <tableColumn id="5" xr3:uid="{64968E9B-8EA7-0144-98F7-EE31E2579BBF}" name="CZ 4" dataDxfId="232"/>
    <tableColumn id="6" xr3:uid="{6E32D139-5999-9346-9839-86B2E3343F95}" name="CZ 4 C" dataDxfId="231"/>
    <tableColumn id="7" xr3:uid="{6CCD7402-8660-0343-A3BF-8D21034205D5}" name="CZ 5" dataDxfId="230"/>
    <tableColumn id="8" xr3:uid="{06945004-BF19-174E-8948-224B4F9C5315}" name="CZ 6" dataDxfId="229"/>
    <tableColumn id="9" xr3:uid="{93E2AF80-654C-2046-87CF-143F5164FB9C}" name="CZ 7" dataDxfId="228"/>
    <tableColumn id="10" xr3:uid="{74388C8B-93C1-254A-B6FF-FFFB3FA65124}" name="CZ 8" dataDxfId="227"/>
  </tableColumns>
  <tableStyleInfo name="TableStyleLight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C21E2F4-C7B6-EE43-8081-B6CF738C5163}" name="IECC2009_RU_SlabOnGradeFloor" displayName="IECC2009_RU_SlabOnGradeFloor" ref="BJ41:BS43" totalsRowShown="0" headerRowDxfId="226" dataDxfId="224" headerRowBorderDxfId="225" tableBorderDxfId="223">
  <autoFilter ref="BJ41:BS43" xr:uid="{00000000-0009-0000-0100-00005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FCE81DE-1CC3-C048-9908-93B70583734E}" name="Climate Zone:" dataDxfId="222"/>
    <tableColumn id="2" xr3:uid="{72FC0A24-F37F-F240-9CD1-E4EA8890C888}" name="CZ 1" dataDxfId="221"/>
    <tableColumn id="3" xr3:uid="{D6D01A3F-5783-DC4B-9C25-E3F403834B89}" name="CZ 2" dataDxfId="220"/>
    <tableColumn id="4" xr3:uid="{46AEBD62-845D-E449-B712-22A05907F298}" name="CZ 3" dataDxfId="219"/>
    <tableColumn id="5" xr3:uid="{29366405-2C68-7E46-8440-854A683F5BED}" name="CZ 4" dataDxfId="218"/>
    <tableColumn id="6" xr3:uid="{AE725FB7-B652-3B40-A3C6-C7D8B47CEF32}" name="CZ 4 C" dataDxfId="217">
      <calculatedColumnFormula>IECC2009_RU_SlabOnGradeFloor[[#This Row],[CZ 5]]</calculatedColumnFormula>
    </tableColumn>
    <tableColumn id="7" xr3:uid="{05A9F2AA-13EA-D243-9AA5-373DBD559155}" name="CZ 5" dataDxfId="216"/>
    <tableColumn id="8" xr3:uid="{3D496418-8F8E-EB49-B754-22F4B154CDA6}" name="CZ 6" dataDxfId="215"/>
    <tableColumn id="9" xr3:uid="{E073D141-4CA4-1F4A-8A90-B8D8AEC9B783}" name="CZ 7" dataDxfId="214"/>
    <tableColumn id="10" xr3:uid="{8BB78FFB-11F1-164C-B5EC-0E3C115732A0}" name="CZ 8" dataDxfId="213"/>
  </tableColumns>
  <tableStyleInfo name="TableStyleLight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743620A8-7224-B845-84B8-C4299F630EF8}" name="IECC2009_OU_Roof" displayName="IECC2009_OU_Roof" ref="BU15:CD18" totalsRowShown="0" headerRowDxfId="212" dataDxfId="210" headerRowBorderDxfId="211" tableBorderDxfId="209">
  <autoFilter ref="BU15:CD18" xr:uid="{00000000-0009-0000-0100-00005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861F20B-63C1-0E40-A0B5-EAABCC7B2C4D}" name="Climate Zone:" dataDxfId="208"/>
    <tableColumn id="2" xr3:uid="{EA48879C-EC7C-8148-87AA-A6806AF87FC8}" name="CZ 1" dataDxfId="207"/>
    <tableColumn id="3" xr3:uid="{B3E53054-75D1-DB4B-B3B0-20953544DEED}" name="CZ 2" dataDxfId="206"/>
    <tableColumn id="4" xr3:uid="{FA0C7F68-9951-4448-9CDD-8213E9F45B4D}" name="CZ 3" dataDxfId="205"/>
    <tableColumn id="5" xr3:uid="{F37C31E6-18F3-C940-8391-7F7C2468B2EA}" name="CZ 4" dataDxfId="204"/>
    <tableColumn id="6" xr3:uid="{D0C8420B-A4B7-8A49-887D-6494DD4154B5}" name="CZ 4 C" dataDxfId="203">
      <calculatedColumnFormula>IECC2009_OU_Roof[[#This Row],[CZ 5]]</calculatedColumnFormula>
    </tableColumn>
    <tableColumn id="7" xr3:uid="{35A3E4D1-FEA4-C243-921E-55DF9B1EEC19}" name="CZ 5" dataDxfId="202"/>
    <tableColumn id="8" xr3:uid="{2EA3C901-EACA-3048-AC5A-30EDAF68D4EF}" name="CZ 6" dataDxfId="201"/>
    <tableColumn id="9" xr3:uid="{86077EF1-F6F6-234A-B6A7-42BFA39226FE}" name="CZ 7" dataDxfId="200"/>
    <tableColumn id="10" xr3:uid="{72F60722-74A7-AA4A-8DB5-09161CEE38A3}" name="CZ 8" dataDxfId="199"/>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A2718B-9C52-6049-A085-E1B3009D7183}" name="Table3a1" displayName="Table3a1" ref="B6:J20" headerRowDxfId="1370" dataDxfId="1368" totalsRowDxfId="1366" headerRowBorderDxfId="1369" tableBorderDxfId="1367">
  <autoFilter ref="B6:J2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638ABF9-ACDD-2D49-B273-36E3D57F990E}" name="Enter Space &gt;&gt;&gt;" totalsRowLabel="Total Airflow:" dataDxfId="1365" totalsRowDxfId="1364"/>
    <tableColumn id="2" xr3:uid="{140FE5A7-D635-F640-85AC-9B51E8C242E7}" name="Column1" totalsRowFunction="sum" dataDxfId="1363" totalsRowDxfId="1362"/>
    <tableColumn id="3" xr3:uid="{B1B60FFB-77FE-564A-88C3-94E3DC9B1504}" name="Column2" totalsRowFunction="sum" dataDxfId="1361" totalsRowDxfId="1360"/>
    <tableColumn id="4" xr3:uid="{B0CF4434-92A0-2145-99A0-F910E551F090}" name="Column3" totalsRowFunction="sum" dataDxfId="1359" totalsRowDxfId="1358"/>
    <tableColumn id="5" xr3:uid="{608A2E1A-D880-6B48-BBF7-96D335D5AADA}" name="Column4" totalsRowFunction="sum" dataDxfId="1357" totalsRowDxfId="1356"/>
    <tableColumn id="6" xr3:uid="{59E2B9B8-69DA-5042-9ED6-8F5FD7675560}" name="Column5" totalsRowFunction="sum" dataDxfId="1355" totalsRowDxfId="1354"/>
    <tableColumn id="7" xr3:uid="{DEEDBD15-1344-9948-BB16-C0A851B1164D}" name="Column6" totalsRowFunction="sum" dataDxfId="1353" totalsRowDxfId="1352"/>
    <tableColumn id="8" xr3:uid="{53C7A71A-E4D7-324F-AD7E-F7E65E2C39C3}" name="Column7" totalsRowFunction="sum" dataDxfId="1351" totalsRowDxfId="1350"/>
    <tableColumn id="11" xr3:uid="{10FB8221-445A-4D43-A393-6D9510E9E5BE}" name="Column8" dataDxfId="1349" totalsRowDxfId="1348"/>
  </tableColumns>
  <tableStyleInfo name="TableStyleLight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A2C11B7F-E7E6-1045-9FCA-114818D09CE3}" name="IECC2009_OU_WallAboveGrade" displayName="IECC2009_OU_WallAboveGrade" ref="BU22:CD26" totalsRowShown="0" headerRowDxfId="198" dataDxfId="196" headerRowBorderDxfId="197" tableBorderDxfId="195">
  <autoFilter ref="BU22:CD26" xr:uid="{00000000-0009-0000-0100-00005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5648D65-68E6-9649-BF89-9FE34DD93C66}" name="Climate Zone:" dataDxfId="194"/>
    <tableColumn id="2" xr3:uid="{2D64EA1D-EA31-7E43-B981-23A0BFD651D3}" name="CZ 1" dataDxfId="193"/>
    <tableColumn id="3" xr3:uid="{FDED1BC4-7CF1-AE41-92DC-B8594153AC5D}" name="CZ 2" dataDxfId="192"/>
    <tableColumn id="4" xr3:uid="{C7B0059F-5AC9-B448-ACC7-1F381B1E3DE2}" name="CZ 3" dataDxfId="191"/>
    <tableColumn id="5" xr3:uid="{2427A30C-123E-C54D-9D1F-6359DF3A241C}" name="CZ 4" dataDxfId="190"/>
    <tableColumn id="6" xr3:uid="{02CA7316-7734-C740-A19A-0C7E8D33ADE6}" name="CZ 4 C" dataDxfId="189"/>
    <tableColumn id="7" xr3:uid="{8D6745B2-C9FE-D740-9C60-A6CE79694E21}" name="CZ 5" dataDxfId="188"/>
    <tableColumn id="8" xr3:uid="{53790601-E749-2B43-9A4B-93603B0A21EA}" name="CZ 6" dataDxfId="187"/>
    <tableColumn id="9" xr3:uid="{A19233BC-3316-404B-AAC3-535B81FAAC9C}" name="CZ 7" dataDxfId="186"/>
    <tableColumn id="10" xr3:uid="{F89D9BD0-EFF3-FB49-83B9-1C486969C19A}" name="CZ 8" dataDxfId="185"/>
  </tableColumns>
  <tableStyleInfo name="TableStyleLight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D41A4C6D-1D3F-F441-9BD2-235257C9F11C}" name="IECC2009_OU_WallBelowGrade" displayName="IECC2009_OU_WallBelowGrade" ref="BU30:CD31" totalsRowShown="0" headerRowDxfId="184" dataDxfId="182" headerRowBorderDxfId="183" tableBorderDxfId="181">
  <autoFilter ref="BU30:CD31" xr:uid="{00000000-0009-0000-0100-00005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8DE3A40-DF11-2E41-B088-2E5DE6161A9E}" name="Climate Zone:" dataDxfId="180"/>
    <tableColumn id="2" xr3:uid="{B6DC1F50-A9C9-194E-BD22-20D65E6EFDC1}" name="CZ 1" dataDxfId="179"/>
    <tableColumn id="3" xr3:uid="{1277BF08-B62D-244A-9928-F8B3623B3E40}" name="CZ 2" dataDxfId="178"/>
    <tableColumn id="4" xr3:uid="{F6105DE3-C3C9-3647-A8B6-F91E6B005E2B}" name="CZ 3" dataDxfId="177"/>
    <tableColumn id="5" xr3:uid="{9367463F-FF6A-0C47-9A95-324430CDFF01}" name="CZ 4" dataDxfId="176"/>
    <tableColumn id="6" xr3:uid="{420C1BFD-CDA1-794F-8521-610D1CC478FA}" name="CZ 4 C" dataDxfId="175"/>
    <tableColumn id="7" xr3:uid="{75785F81-4B12-C34E-8147-74995376C821}" name="CZ 5" dataDxfId="174"/>
    <tableColumn id="8" xr3:uid="{C76F3A2E-DC24-6A40-8219-95934B5A9621}" name="CZ 6" dataDxfId="173"/>
    <tableColumn id="9" xr3:uid="{3192E995-0AD5-004D-AE28-24A3AD884175}" name="CZ 7" dataDxfId="172"/>
    <tableColumn id="10" xr3:uid="{EC8D564A-DC30-B248-BFB4-09467C82D1F4}" name="CZ 8" dataDxfId="171"/>
  </tableColumns>
  <tableStyleInfo name="TableStyleLight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2EBFD71-55D0-4B4B-9499-3241CA417078}" name="IECC2009_OU_Floor" displayName="IECC2009_OU_Floor" ref="BU35:CD37" totalsRowShown="0" headerRowDxfId="170" dataDxfId="168" headerRowBorderDxfId="169" tableBorderDxfId="167">
  <autoFilter ref="BU35:CD37" xr:uid="{00000000-0009-0000-0100-00006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42E674F-9FB8-714A-8E8D-6A6CE2B1FF63}" name="Climate Zone:" dataDxfId="166"/>
    <tableColumn id="2" xr3:uid="{AB64F859-CEFF-BF48-91CA-5C40EA0551D9}" name="CZ 1" dataDxfId="165"/>
    <tableColumn id="3" xr3:uid="{04D27DA2-B96D-5B43-9791-FE10E8C25BA4}" name="CZ 2" dataDxfId="164"/>
    <tableColumn id="4" xr3:uid="{1BA4AEBE-B05F-6945-BFC3-D7C690637B70}" name="CZ 3" dataDxfId="163"/>
    <tableColumn id="5" xr3:uid="{17645270-553E-5041-8782-66454B1ADFBA}" name="CZ 4" dataDxfId="162"/>
    <tableColumn id="6" xr3:uid="{D2E5A3A1-2AA6-794A-8738-D9B3B7175685}" name="CZ 4 C" dataDxfId="161"/>
    <tableColumn id="7" xr3:uid="{FB37243A-17C1-D943-A269-813285FB598C}" name="CZ 5" dataDxfId="160"/>
    <tableColumn id="8" xr3:uid="{BFD3A3C4-5832-EE4D-9F50-8C5D78870B82}" name="CZ 6" dataDxfId="159"/>
    <tableColumn id="9" xr3:uid="{A011219D-B783-B449-9063-7B291071A3CE}" name="CZ 7" dataDxfId="158"/>
    <tableColumn id="10" xr3:uid="{87DF11A2-E771-1840-8AAB-E2A2549F67DE}" name="CZ 8" dataDxfId="157"/>
  </tableColumns>
  <tableStyleInfo name="TableStyleLight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C5FA0245-B46E-2C4D-B9CB-C1A6E3EA3749}" name="IECC2009_OU_SlabOnGradeFloor" displayName="IECC2009_OU_SlabOnGradeFloor" ref="BU41:CD43" totalsRowShown="0" headerRowDxfId="156" dataDxfId="154" headerRowBorderDxfId="155" tableBorderDxfId="153">
  <autoFilter ref="BU41:CD43" xr:uid="{00000000-0009-0000-0100-00006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6B8A26E-A448-434C-A4BC-04D857D7BA41}" name="Climate Zone:" dataDxfId="152"/>
    <tableColumn id="2" xr3:uid="{F1D4CE9C-6F33-5D48-9A6F-325B9184F393}" name="CZ 1" dataDxfId="151"/>
    <tableColumn id="3" xr3:uid="{E34A7946-8566-044D-8758-14E3380F58E2}" name="CZ 2" dataDxfId="150"/>
    <tableColumn id="4" xr3:uid="{B40DF699-3E1F-FD46-94AA-276770F2B68F}" name="CZ 3" dataDxfId="149"/>
    <tableColumn id="5" xr3:uid="{E1D4B00D-1108-9845-B203-FEC07E441C0E}" name="CZ 4" dataDxfId="148"/>
    <tableColumn id="6" xr3:uid="{1FDA0492-15A0-CA46-AD62-2C3CF60CB47A}" name="CZ 4 C" dataDxfId="147">
      <calculatedColumnFormula>IECC2009_OU_SlabOnGradeFloor[[#This Row],[CZ 5]]</calculatedColumnFormula>
    </tableColumn>
    <tableColumn id="7" xr3:uid="{B40BD338-BEF5-2943-9DD8-D74C53F76F10}" name="CZ 5" dataDxfId="146"/>
    <tableColumn id="8" xr3:uid="{7B08E841-EBC6-7D46-895B-382284126406}" name="CZ 6" dataDxfId="145"/>
    <tableColumn id="9" xr3:uid="{C5FC0708-84D8-D543-9BF9-1AFEBD4E68A3}" name="CZ 7" dataDxfId="144"/>
    <tableColumn id="10" xr3:uid="{C9A17753-90DD-7C49-88CF-2DD7E851E471}" name="CZ 8" dataDxfId="143"/>
  </tableColumns>
  <tableStyleInfo name="TableStyleLight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48C4E45-01F7-674F-A14C-07BD8533C548}" name="IECC2012_OU_Roof" displayName="IECC2012_OU_Roof" ref="CF15:CO18" totalsRowShown="0" headerRowDxfId="142" dataDxfId="140" headerRowBorderDxfId="141" tableBorderDxfId="139">
  <autoFilter ref="CF15:CO18" xr:uid="{00000000-0009-0000-0100-00006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6B17777-37FF-5547-975C-AB5C6ABD5963}" name="Climate Zone:" dataDxfId="138"/>
    <tableColumn id="2" xr3:uid="{368EAC3E-A4CE-354E-BB64-38EF42196839}" name="CZ 1" dataDxfId="137"/>
    <tableColumn id="3" xr3:uid="{904A5AAC-AFCE-0A45-A11A-1AF4067CBDCC}" name="CZ 2" dataDxfId="136"/>
    <tableColumn id="4" xr3:uid="{0FCB574D-B2F8-3244-879F-5B29C9D8CCEC}" name="CZ 3" dataDxfId="135"/>
    <tableColumn id="5" xr3:uid="{83E9F519-B355-4641-9845-780D3DE0E400}" name="CZ 4" dataDxfId="134"/>
    <tableColumn id="6" xr3:uid="{6FCBB43B-B0F4-AB4E-9827-235F23385636}" name="CZ 4 C" dataDxfId="133"/>
    <tableColumn id="7" xr3:uid="{CD5C2E07-A85C-5349-A702-15D167204054}" name="CZ 5" dataDxfId="132"/>
    <tableColumn id="8" xr3:uid="{23BA9DDD-F622-D44D-96B9-D938A564AD38}" name="CZ 6" dataDxfId="131"/>
    <tableColumn id="9" xr3:uid="{3E26E8AE-6221-1042-B99D-B0802570E80E}" name="CZ 7" dataDxfId="130"/>
    <tableColumn id="10" xr3:uid="{A008D160-CE05-824D-ACFF-95728204BD43}" name="CZ 8" dataDxfId="129"/>
  </tableColumns>
  <tableStyleInfo name="TableStyleLight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9EC15AE-FFC9-8C46-A186-BF82E34E23C1}" name="IECC2012_OU_WallAboveGrade" displayName="IECC2012_OU_WallAboveGrade" ref="CF22:CO26" totalsRowShown="0" headerRowDxfId="128" dataDxfId="126" headerRowBorderDxfId="127" tableBorderDxfId="125">
  <autoFilter ref="CF22:CO26" xr:uid="{00000000-0009-0000-0100-00006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76F4774-AFC4-954E-965C-B520F8EB594F}" name="Climate Zone:" dataDxfId="124"/>
    <tableColumn id="2" xr3:uid="{2E9ED326-C268-A34E-B006-C728ED7FDDA9}" name="CZ 1" dataDxfId="123"/>
    <tableColumn id="3" xr3:uid="{2BA9B329-E915-6E43-866C-96AAF1751C7E}" name="CZ 2" dataDxfId="122"/>
    <tableColumn id="4" xr3:uid="{207D9680-3765-AD46-B6B0-B1899F0E7022}" name="CZ 3" dataDxfId="121"/>
    <tableColumn id="5" xr3:uid="{850CF4C2-D3DD-ED48-81BF-39E245CF4B74}" name="CZ 4" dataDxfId="120"/>
    <tableColumn id="6" xr3:uid="{4C506EC4-6485-9249-AF90-F0894872B00D}" name="CZ 4 C" dataDxfId="119"/>
    <tableColumn id="7" xr3:uid="{CB1BA34B-8C2B-8A49-9A99-BD86194CFCBC}" name="CZ 5" dataDxfId="118"/>
    <tableColumn id="8" xr3:uid="{E4B6D711-86CB-B541-9807-FCC31462E44B}" name="CZ 6" dataDxfId="117"/>
    <tableColumn id="9" xr3:uid="{AAEB3FA9-A5ED-E343-B667-871DC47170EA}" name="CZ 7" dataDxfId="116"/>
    <tableColumn id="10" xr3:uid="{22D66AC7-A91C-C548-91C9-C07E64832228}" name="CZ 8" dataDxfId="115"/>
  </tableColumns>
  <tableStyleInfo name="TableStyleLight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246EEC77-8009-224E-9455-5431516999A4}" name="IECC2012_OU_WallBelowGrade" displayName="IECC2012_OU_WallBelowGrade" ref="CF30:CO31" totalsRowShown="0" headerRowDxfId="114" dataDxfId="112" headerRowBorderDxfId="113" tableBorderDxfId="111">
  <autoFilter ref="CF30:CO31" xr:uid="{00000000-0009-0000-0100-00006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B8E343F-D3EF-9E48-B645-D42612EC06F2}" name="Climate Zone:" dataDxfId="110"/>
    <tableColumn id="2" xr3:uid="{B23A7528-402D-9D47-9862-9EE3F4E3F95E}" name="CZ 1" dataDxfId="109"/>
    <tableColumn id="3" xr3:uid="{342B7657-CD2D-A94D-B094-4EB3B94867EB}" name="CZ 2" dataDxfId="108"/>
    <tableColumn id="4" xr3:uid="{A37AA8CF-8A9D-F843-B47B-A6C7A4406B62}" name="CZ 3" dataDxfId="107"/>
    <tableColumn id="5" xr3:uid="{64DBC448-C91F-A146-98C1-5C1231D77EA2}" name="CZ 4" dataDxfId="106"/>
    <tableColumn id="6" xr3:uid="{A423F62C-3EEB-F241-BB30-C5049E677DF9}" name="CZ 4 C" dataDxfId="105"/>
    <tableColumn id="7" xr3:uid="{9AF50D46-AB65-AD42-9D1A-A29B57646FE5}" name="CZ 5" dataDxfId="104"/>
    <tableColumn id="8" xr3:uid="{8A770A24-AF43-C944-988E-92102E5EBD0E}" name="CZ 6" dataDxfId="103"/>
    <tableColumn id="9" xr3:uid="{F893689E-A385-5D4A-8123-2B058C35D900}" name="CZ 7" dataDxfId="102"/>
    <tableColumn id="10" xr3:uid="{D39DEBB3-DF72-7044-BFBE-082A59EF81F3}" name="CZ 8" dataDxfId="101"/>
  </tableColumns>
  <tableStyleInfo name="TableStyleLight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A6FE26A-6AA1-AB47-B751-876C71553955}" name="IECC2012_OU_Floor" displayName="IECC2012_OU_Floor" ref="CF35:CO37" totalsRowShown="0" headerRowDxfId="100" dataDxfId="98" headerRowBorderDxfId="99" tableBorderDxfId="97">
  <autoFilter ref="CF35:CO37" xr:uid="{00000000-0009-0000-0100-00006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4025BB2-2354-D240-BFF9-D3189BD38117}" name="Climate Zone:" dataDxfId="96"/>
    <tableColumn id="2" xr3:uid="{3506B401-FB54-ED4E-9606-469BD560A88B}" name="CZ 1" dataDxfId="95"/>
    <tableColumn id="3" xr3:uid="{4DC75E34-B30D-0543-AEA4-2E2386A89ED8}" name="CZ 2" dataDxfId="94"/>
    <tableColumn id="4" xr3:uid="{8D1F4B66-D949-2646-A81A-5844F86DEA8C}" name="CZ 3" dataDxfId="93"/>
    <tableColumn id="5" xr3:uid="{74A1479E-7828-2E40-8FBE-C933B213653F}" name="CZ 4" dataDxfId="92"/>
    <tableColumn id="6" xr3:uid="{21052083-CF95-F144-B883-E2ABD7728339}" name="CZ 4 C" dataDxfId="91"/>
    <tableColumn id="7" xr3:uid="{29D37E12-B2CB-D741-B05C-A58AC3325CB4}" name="CZ 5" dataDxfId="90"/>
    <tableColumn id="8" xr3:uid="{858CF0F6-837F-CB49-A1A1-DF922E97B7DF}" name="CZ 6" dataDxfId="89"/>
    <tableColumn id="9" xr3:uid="{6501F3C8-90ED-464B-90E1-974738A40D30}" name="CZ 7" dataDxfId="88"/>
    <tableColumn id="10" xr3:uid="{03E05BF7-C5FF-2E41-99A3-3D921BDBB31D}" name="CZ 8" dataDxfId="87"/>
  </tableColumns>
  <tableStyleInfo name="TableStyleLight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8A9FAD0-5805-EF4D-8F1A-4B5F9D0D972E}" name="IECC2012_OU_SlabOnGradeFloor" displayName="IECC2012_OU_SlabOnGradeFloor" ref="CF41:CO43" totalsRowShown="0" headerRowDxfId="86" dataDxfId="84" headerRowBorderDxfId="85" tableBorderDxfId="83">
  <autoFilter ref="CF41:CO43" xr:uid="{00000000-0009-0000-0100-00006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89B6A75-BBA5-7444-A1D9-0880285965E1}" name="Climate Zone:" dataDxfId="82"/>
    <tableColumn id="2" xr3:uid="{E04B1C62-B183-D345-A2AC-73006C5713AC}" name="CZ 1" dataDxfId="81"/>
    <tableColumn id="3" xr3:uid="{38B4D37F-D258-FC40-9CF1-390C390907B8}" name="CZ 2" dataDxfId="80"/>
    <tableColumn id="4" xr3:uid="{321B4098-7DFD-4A47-84AD-E93954A3CAFA}" name="CZ 3" dataDxfId="79"/>
    <tableColumn id="5" xr3:uid="{85D726C7-931B-1842-BA95-6EB2068D5FD8}" name="CZ 4" dataDxfId="78"/>
    <tableColumn id="6" xr3:uid="{023A3BB7-9F8B-8B4C-B246-970BF8820160}" name="CZ 4 C" dataDxfId="77"/>
    <tableColumn id="7" xr3:uid="{088A8637-6317-8F45-B530-85CC39A23BEA}" name="CZ 5" dataDxfId="76"/>
    <tableColumn id="8" xr3:uid="{77C4579A-1E48-4547-A085-5B70C27261D3}" name="CZ 6" dataDxfId="75"/>
    <tableColumn id="9" xr3:uid="{9CA13ED2-75EF-6A48-AA6E-2CA158C0A3BA}" name="CZ 7" dataDxfId="74"/>
    <tableColumn id="10" xr3:uid="{DEAD13B9-329D-FC47-A8AB-703A769573BE}" name="CZ 8" dataDxfId="73"/>
  </tableColumns>
  <tableStyleInfo name="TableStyleLight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B6529E72-B99B-1047-856A-9DC043507D83}" name="ESRefDesign_Fenestration_V11" displayName="ESRefDesign_Fenestration_V11" ref="AX4:BG12" totalsRowShown="0" headerRowDxfId="72" dataDxfId="70" headerRowBorderDxfId="71" tableBorderDxfId="69">
  <autoFilter ref="AX4:BG12" xr:uid="{00000000-0009-0000-0100-00007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CE44713-174A-FE43-84D6-BBD48A89AC34}" name="Climate Zone:" dataDxfId="68"/>
    <tableColumn id="2" xr3:uid="{078B641E-2080-5346-8A23-DF29897A4CB5}" name="CZ 1" dataDxfId="67"/>
    <tableColumn id="3" xr3:uid="{0A391351-FE8F-2444-A7CD-D951008D843E}" name="CZ 2" dataDxfId="66"/>
    <tableColumn id="4" xr3:uid="{774E4E7C-3450-CE47-A6BF-E5EAE9DBEDDD}" name="CZ 3" dataDxfId="65"/>
    <tableColumn id="5" xr3:uid="{EA07023E-C417-FA4B-8E4E-9AC9EC993259}" name="CZ 4" dataDxfId="64"/>
    <tableColumn id="6" xr3:uid="{57F6A4D7-31E2-1443-A412-E20BFDBE01E5}" name="CZ 4 C" dataDxfId="63"/>
    <tableColumn id="7" xr3:uid="{E0AC90C8-CF01-9E43-B767-061C7BC3827F}" name="CZ 5" dataDxfId="62"/>
    <tableColumn id="8" xr3:uid="{E246B30A-67AA-1E45-AD61-D4BDAD984E39}" name="CZ 6" dataDxfId="61"/>
    <tableColumn id="9" xr3:uid="{AE92FA50-70F1-C349-B43B-173B1183FCA8}" name="CZ 7" dataDxfId="60"/>
    <tableColumn id="10" xr3:uid="{03C833B2-3671-094F-A826-E562F2CE9C06}" name="CZ 8" dataDxfId="59"/>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C699FE-D0D8-DF48-8A8E-4E48EF6B1A4D}" name="Table3a2" displayName="Table3a2" ref="B28:J38" headerRowDxfId="1347" dataDxfId="1345" totalsRowDxfId="1343" headerRowBorderDxfId="1346" tableBorderDxfId="1344">
  <autoFilter ref="B28:J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24DF42C-5170-1243-B95B-83A4EFA4B06C}" name="Enter Space &gt;&gt;&gt;" totalsRowLabel="Total Airflow:" dataDxfId="1342" totalsRowDxfId="1341"/>
    <tableColumn id="2" xr3:uid="{27824E53-EA74-1342-8704-CCDC3F7C49B2}" name="Column1" totalsRowFunction="sum" dataDxfId="1340" totalsRowDxfId="1339"/>
    <tableColumn id="3" xr3:uid="{B5E8282B-69F7-974C-A7D2-CDACC5B09AE4}" name="Column2" totalsRowFunction="sum" dataDxfId="1338" totalsRowDxfId="1337"/>
    <tableColumn id="4" xr3:uid="{F1D85EEC-21BC-2C42-A800-72E1D3A02270}" name="Column3" totalsRowFunction="sum" dataDxfId="1336" totalsRowDxfId="1335"/>
    <tableColumn id="5" xr3:uid="{09D9303F-0FC0-A74E-A28D-CA4C999BC8A9}" name="Column4" totalsRowFunction="sum" dataDxfId="1334" totalsRowDxfId="1333"/>
    <tableColumn id="6" xr3:uid="{D1530AAE-AC7E-D547-85CF-E5589908A06B}" name="Column5" totalsRowFunction="sum" dataDxfId="1332" totalsRowDxfId="1331"/>
    <tableColumn id="7" xr3:uid="{854643E0-5F33-5146-97C1-495779F754EB}" name="Column6" totalsRowFunction="sum" dataDxfId="1330" totalsRowDxfId="1329"/>
    <tableColumn id="8" xr3:uid="{5FE55622-4512-E444-A37B-9C9DD2EC63D5}" name="Column7" totalsRowFunction="sum" dataDxfId="1328" totalsRowDxfId="1327"/>
    <tableColumn id="10" xr3:uid="{4F50652D-7173-F846-8B94-F81356DCBCAB}" name="Column8" dataDxfId="1326" totalsRowDxfId="1325"/>
  </tableColumns>
  <tableStyleInfo name="TableStyleLight4"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4834EF2-5409-8845-ACEB-351775BBA950}" name="ESRefDesign_FenestrationAW_V11" displayName="ESRefDesign_FenestrationAW_V11" ref="AX16:BG19" totalsRowShown="0" headerRowDxfId="58" dataDxfId="56" headerRowBorderDxfId="57" tableBorderDxfId="55">
  <autoFilter ref="AX16:BG19" xr:uid="{00000000-0009-0000-0100-00007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D9CA01D-DB7F-EC4D-BA98-1517430C013D}" name="Climate Zone:" dataDxfId="54"/>
    <tableColumn id="2" xr3:uid="{E6B6720E-EF61-0640-863B-672EDAE0C21F}" name="CZ 1" dataDxfId="53"/>
    <tableColumn id="3" xr3:uid="{9C0F13D3-C977-7744-ABC9-E5FFCAA0FA57}" name="CZ 2" dataDxfId="52"/>
    <tableColumn id="4" xr3:uid="{FC196A66-9130-2341-B085-0865BF805472}" name="CZ 3" dataDxfId="51"/>
    <tableColumn id="5" xr3:uid="{A1814C6B-E25B-7E4D-AA98-0F62BD9EF6A8}" name="CZ 4" dataDxfId="50"/>
    <tableColumn id="6" xr3:uid="{E18CC507-C025-7449-B3E4-BCFA8D7F5E4B}" name="CZ 4 C" dataDxfId="49"/>
    <tableColumn id="7" xr3:uid="{AECC49C9-C108-914A-B033-21D685FD695E}" name="CZ 5" dataDxfId="48"/>
    <tableColumn id="8" xr3:uid="{66A7EFA9-1E9F-E64A-AD8D-98BE6FF06DBA}" name="CZ 6" dataDxfId="47"/>
    <tableColumn id="9" xr3:uid="{CE8DA883-5FF4-2845-ADE4-AA74C791F024}" name="CZ 7" dataDxfId="46"/>
    <tableColumn id="10" xr3:uid="{8BD31648-6C3B-0D46-AC4A-0603E1077FB9}" name="CZ 8" dataDxfId="45"/>
  </tableColumns>
  <tableStyleInfo name="TableStyleLight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F1EBE1D-98E5-CB44-8CCF-00C8D1E9D3AB}" name="ESRefDesign_Fenestration_V12" displayName="ESRefDesign_Fenestration_V12" ref="BJ4:BM12" totalsRowShown="0" headerRowDxfId="44" dataDxfId="42" headerRowBorderDxfId="43" tableBorderDxfId="41">
  <autoFilter ref="BJ4:BM12" xr:uid="{00000000-0009-0000-0100-000019000000}">
    <filterColumn colId="0" hiddenButton="1"/>
    <filterColumn colId="1" hiddenButton="1"/>
    <filterColumn colId="2" hiddenButton="1"/>
    <filterColumn colId="3" hiddenButton="1"/>
  </autoFilter>
  <tableColumns count="4">
    <tableColumn id="1" xr3:uid="{D1E23BC1-A1D9-494E-9115-6AB92AA5AA2D}" name="Climate Zone:" dataDxfId="40"/>
    <tableColumn id="2" xr3:uid="{68E27AC2-98B8-D14B-BAF8-8E34D6D3BEC1}" name="CZ 4 C" dataDxfId="39"/>
    <tableColumn id="3" xr3:uid="{901BE352-CFB5-C344-AC3A-95B8E902965A}" name="CZ 5" dataDxfId="38"/>
    <tableColumn id="4" xr3:uid="{462CC828-A6EF-8F4D-880B-AB393AF00CC4}" name="CZ 6" dataDxfId="37"/>
  </tableColumns>
  <tableStyleInfo name="TableStyleLight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AE79DC9-877E-5B44-A43C-01F499C66022}" name="ESRefDesign_FenestrationAW_V12" displayName="ESRefDesign_FenestrationAW_V12" ref="AX23:BA26" totalsRowShown="0" headerRowBorderDxfId="36" tableBorderDxfId="35">
  <autoFilter ref="AX23:BA26" xr:uid="{00000000-0009-0000-0100-000056000000}">
    <filterColumn colId="0" hiddenButton="1"/>
    <filterColumn colId="1" hiddenButton="1"/>
    <filterColumn colId="2" hiddenButton="1"/>
    <filterColumn colId="3" hiddenButton="1"/>
  </autoFilter>
  <tableColumns count="4">
    <tableColumn id="1" xr3:uid="{849A67C4-BE25-DC4D-9FE1-4744EBD599B0}" name="Climate Zone:" dataDxfId="34"/>
    <tableColumn id="2" xr3:uid="{716542BC-1FAE-7148-AEB2-6CEA5DF4E216}" name="CZ 4 C" dataDxfId="33"/>
    <tableColumn id="3" xr3:uid="{F665CE5D-0F98-AC43-B192-8D34A275321B}" name="CZ 5" dataDxfId="32"/>
    <tableColumn id="4" xr3:uid="{859A1C1F-981E-6642-A3D7-BD0758889E2C}" name="CZ 6" dataDxfId="31"/>
  </tableColumns>
  <tableStyleInfo name="TableStyleLight8"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C557A1A9-9CAA-1F47-A72C-8A07E91B2105}" name="ESRefDesign_InsulationU_V1" displayName="ESRefDesign_InsulationU_V1" ref="N101:W107" totalsRowShown="0" headerRowDxfId="30" dataDxfId="29" tableBorderDxfId="28">
  <autoFilter ref="N101:W107" xr:uid="{00000000-0009-0000-0100-000059000000}"/>
  <tableColumns count="10">
    <tableColumn id="1" xr3:uid="{E4501D37-322E-A747-804B-318DA0A5D814}" name="Climate Zone:" dataDxfId="27"/>
    <tableColumn id="2" xr3:uid="{7BE29111-7850-3A45-AAF3-EC8B42FFCD15}" name="CZ 1" dataDxfId="26"/>
    <tableColumn id="3" xr3:uid="{5D5C52D7-5F71-E843-8CEC-F1DF4549EFB2}" name="CZ 2" dataDxfId="25"/>
    <tableColumn id="4" xr3:uid="{B76A363E-2184-0C4B-9248-7FD1F156F4C9}" name="CZ 3" dataDxfId="24"/>
    <tableColumn id="5" xr3:uid="{D1B5E855-3266-4C47-A47F-5886D32895D0}" name="CZ 4" dataDxfId="23"/>
    <tableColumn id="6" xr3:uid="{EDEF7597-3310-5445-8356-D856F8E70D81}" name="CZ 4 C" dataDxfId="22"/>
    <tableColumn id="7" xr3:uid="{5E9E9ED3-CA02-2A48-A15D-954382121600}" name="CZ 5" dataDxfId="21"/>
    <tableColumn id="8" xr3:uid="{C8A2C280-6A2C-454F-82DE-AD25F7112FC7}" name="CZ 6" dataDxfId="20"/>
    <tableColumn id="9" xr3:uid="{C6ABCE68-D8B0-CC4B-ABA7-B038444AE02E}" name="CZ 7" dataDxfId="19"/>
    <tableColumn id="10" xr3:uid="{B21530AC-A80B-6341-98C8-7656DA238EE4}" name="CZ 8" dataDxfId="18"/>
  </tableColumns>
  <tableStyleInfo name="TableStyleLight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2B51B60-AF2B-2645-B640-64BE90C83A56}" name="ESRefDesign_InsulationU_V11" displayName="ESRefDesign_InsulationU_V11" ref="Y101:AH107" totalsRowShown="0" headerRowDxfId="17" dataDxfId="16" tableBorderDxfId="15">
  <autoFilter ref="Y101:AH107" xr:uid="{00000000-0009-0000-0100-00005A000000}"/>
  <tableColumns count="10">
    <tableColumn id="1" xr3:uid="{261396B3-DFAC-0542-A216-FCE00E6C6C0C}" name="Climate Zone:" dataDxfId="14"/>
    <tableColumn id="2" xr3:uid="{E796AF17-63E8-4845-9D53-952A05191C09}" name="CZ 1" dataDxfId="13"/>
    <tableColumn id="3" xr3:uid="{BEDC2543-23ED-3340-9A83-4610340E32F4}" name="CZ 2" dataDxfId="12"/>
    <tableColumn id="4" xr3:uid="{A6A9015C-0E48-F24A-8603-E84335D34263}" name="CZ 3" dataDxfId="11"/>
    <tableColumn id="5" xr3:uid="{282E03C0-F8EF-334D-A826-ADBA721E94B0}" name="CZ 4" dataDxfId="10"/>
    <tableColumn id="6" xr3:uid="{A7E9E21D-3653-AD4E-A967-9D9C5D3DC11F}" name="CZ 4 C" dataDxfId="9"/>
    <tableColumn id="7" xr3:uid="{B5124126-2C4A-B744-A6E8-F36C8D12DB64}" name="CZ 5" dataDxfId="8"/>
    <tableColumn id="8" xr3:uid="{D59EDAA2-7311-E94C-A69C-996B274B28BD}" name="CZ 6" dataDxfId="7"/>
    <tableColumn id="9" xr3:uid="{E414DABE-4AB4-A348-A3EF-3EC785BAEF81}" name="CZ 7" dataDxfId="6"/>
    <tableColumn id="10" xr3:uid="{74DC77A0-9B0A-8240-ACD9-14F9C289829E}" name="CZ 8" dataDxfId="5"/>
  </tableColumns>
  <tableStyleInfo name="TableStyleLight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92ABF3A-3DB4-9F4C-9973-DB3DC870A9B6}" name="ESRefDesign_InsulationU_V12" displayName="ESRefDesign_InsulationU_V12" ref="AJ101:AK106" totalsRowShown="0" headerRowDxfId="4" dataDxfId="3" tableBorderDxfId="2">
  <autoFilter ref="AJ101:AK106" xr:uid="{00000000-0009-0000-0100-00005B000000}"/>
  <tableColumns count="2">
    <tableColumn id="1" xr3:uid="{789266B5-F83B-2A43-B8D9-A2866F5B71FB}" name="Climate Zone:" dataDxfId="1"/>
    <tableColumn id="2" xr3:uid="{1F4E7266-48BA-244A-8F18-9A022DEDDF8F}" name="Insulation Level" dataDxfId="0"/>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FF4E963-D4ED-2249-971D-1D4EDFDA0D7F}" name="Table3b" displayName="Table3b" ref="B8:O19" totalsRowShown="0" headerRowDxfId="1322" dataDxfId="1320" headerRowBorderDxfId="1321" tableBorderDxfId="1319">
  <autoFilter ref="B8:O1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3188A8DC-AB0D-6E44-835B-28736998C430}" name="Fan/Shaft ID" dataDxfId="1318"/>
    <tableColumn id="2" xr3:uid="{9BAFF938-D48B-4C41-A008-B729B7AE9E9C}" name="# of units/grilles" dataDxfId="1317"/>
    <tableColumn id="3" xr3:uid="{87B003AE-AB98-1A4C-B61A-2E5186FE8AB0}" name="Rate per unit/grille (CFM)" dataDxfId="1316"/>
    <tableColumn id="4" xr3:uid="{34E2DA80-782C-1E46-8893-53E9AB03985F}" name="Rated Fan Flow CFM" dataDxfId="1315"/>
    <tableColumn id="17" xr3:uid="{D5013BA8-C4C7-2F49-BE81-F78529CE64C7}" name="CFM50" dataDxfId="1314"/>
    <tableColumn id="14" xr3:uid="{80BA391B-741E-EF4B-98E5-BF2155B38B17}" name="Design/Operating Pressure" dataDxfId="1313"/>
    <tableColumn id="15" xr3:uid="{613D7EC9-7692-9D4C-8D9F-86B85D4ED2EA}" name="Testing Pressure" dataDxfId="1312"/>
    <tableColumn id="5" xr3:uid="{8169DEC2-90DA-6045-874C-4A926BA855E3}" name="CFM Leakage from Single-Point Test" dataDxfId="1311"/>
    <tableColumn id="6" xr3:uid="{57C419B9-F976-D64D-96BA-F24B93469529}" name="Test at Final or Rough-in" dataDxfId="1310"/>
    <tableColumn id="7" xr3:uid="{45125941-6DDF-B744-BA25-CC7A2E30BA32}" name="% Leakage of Design CFM" dataDxfId="1309">
      <calculatedColumnFormula>IFERROR($I9/$E9,"")</calculatedColumnFormula>
    </tableColumn>
    <tableColumn id="8" xr3:uid="{D4E51DB7-5355-DF4A-A36E-AC37FC89BC87}" name="Rough-in MAX CFM" dataDxfId="1308">
      <calculatedColumnFormula>IF($C9="","",
IF(Table3b[[#This Row],[Testing Pressure]]=50, IF(($C9*$D9*1.33)&lt;$E9,((0.25*1.33*$C9*$D9)/(POWER(Table3b[[#This Row],[Design/Operating Pressure]],0.65)/POWER(50,0.65))),(0.25*$E9)/(POWER(Table3b[[#This Row],[Design/Operating Pressure]],0.65)/POWER(50,0.65))
), IF(($C9*$D9*1.33)&lt;$E9,(0.25*1.33*$C9*$D9),(0.25*$E9))))</calculatedColumnFormula>
    </tableColumn>
    <tableColumn id="9" xr3:uid="{CED3E85A-AF5C-C143-914D-685351363DAD}" name="Final MAX CFM" dataDxfId="1307">
      <calculatedColumnFormula>IF($C9="","",
IF(Table3b[[#This Row],[Testing Pressure]]=50, IF(($C9*$D9*1.43)&lt;$E9,((0.3*1.43*$C9*$D9)/(POWER(Table3b[[#This Row],[Design/Operating Pressure]],0.65)/POWER(50,0.65))),(0.3*$E9)/(POWER(Table3b[[#This Row],[Design/Operating Pressure]],0.65)/POWER(50,0.65))
), IF(($C9*$D9*1.43)&lt;$E9,(0.3*1.43*$C9*$D9),(0.3*$E9))))</calculatedColumnFormula>
    </tableColumn>
    <tableColumn id="11" xr3:uid="{6616155B-8457-FE41-884A-EB86D5D6C06D}" name="PASS/FAIL" dataDxfId="1306">
      <calculatedColumnFormula>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calculatedColumnFormula>
    </tableColumn>
    <tableColumn id="10" xr3:uid="{BAFA8090-6A0A-8346-9CBA-B26694FD17B0}" name="Comments" dataDxfId="1305"/>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table" Target="../tables/table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5.xml"/><Relationship Id="rId5" Type="http://schemas.openxmlformats.org/officeDocument/2006/relationships/table" Target="../tables/table6.xml"/><Relationship Id="rId4"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table" Target="../tables/table13.xml"/><Relationship Id="rId4" Type="http://schemas.openxmlformats.org/officeDocument/2006/relationships/table" Target="../tables/table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table" Target="../tables/table15.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3.xml"/><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table" Target="../tables/table21.xml"/><Relationship Id="rId5" Type="http://schemas.openxmlformats.org/officeDocument/2006/relationships/table" Target="../tables/table20.xml"/><Relationship Id="rId10" Type="http://schemas.openxmlformats.org/officeDocument/2006/relationships/table" Target="../tables/table25.xml"/><Relationship Id="rId4" Type="http://schemas.openxmlformats.org/officeDocument/2006/relationships/table" Target="../tables/table19.xml"/><Relationship Id="rId9" Type="http://schemas.openxmlformats.org/officeDocument/2006/relationships/table" Target="../tables/table24.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table" Target="../tables/table27.xml"/></Relationships>
</file>

<file path=xl/worksheets/_rels/sheet24.xml.rels><?xml version="1.0" encoding="UTF-8" standalone="yes"?>
<Relationships xmlns="http://schemas.openxmlformats.org/package/2006/relationships"><Relationship Id="rId13" Type="http://schemas.openxmlformats.org/officeDocument/2006/relationships/table" Target="../tables/table38.xml"/><Relationship Id="rId18" Type="http://schemas.openxmlformats.org/officeDocument/2006/relationships/table" Target="../tables/table43.xml"/><Relationship Id="rId26" Type="http://schemas.openxmlformats.org/officeDocument/2006/relationships/table" Target="../tables/table51.xml"/><Relationship Id="rId39" Type="http://schemas.openxmlformats.org/officeDocument/2006/relationships/table" Target="../tables/table64.xml"/><Relationship Id="rId21" Type="http://schemas.openxmlformats.org/officeDocument/2006/relationships/table" Target="../tables/table46.xml"/><Relationship Id="rId34" Type="http://schemas.openxmlformats.org/officeDocument/2006/relationships/table" Target="../tables/table59.xml"/><Relationship Id="rId42" Type="http://schemas.openxmlformats.org/officeDocument/2006/relationships/table" Target="../tables/table67.xml"/><Relationship Id="rId47" Type="http://schemas.openxmlformats.org/officeDocument/2006/relationships/table" Target="../tables/table72.xml"/><Relationship Id="rId50" Type="http://schemas.openxmlformats.org/officeDocument/2006/relationships/table" Target="../tables/table75.xml"/><Relationship Id="rId55" Type="http://schemas.openxmlformats.org/officeDocument/2006/relationships/table" Target="../tables/table80.xml"/><Relationship Id="rId7" Type="http://schemas.openxmlformats.org/officeDocument/2006/relationships/table" Target="../tables/table32.xml"/><Relationship Id="rId2" Type="http://schemas.openxmlformats.org/officeDocument/2006/relationships/vmlDrawing" Target="../drawings/vmlDrawing8.vml"/><Relationship Id="rId16" Type="http://schemas.openxmlformats.org/officeDocument/2006/relationships/table" Target="../tables/table41.xml"/><Relationship Id="rId29" Type="http://schemas.openxmlformats.org/officeDocument/2006/relationships/table" Target="../tables/table54.xml"/><Relationship Id="rId11" Type="http://schemas.openxmlformats.org/officeDocument/2006/relationships/table" Target="../tables/table36.xml"/><Relationship Id="rId24" Type="http://schemas.openxmlformats.org/officeDocument/2006/relationships/table" Target="../tables/table49.xml"/><Relationship Id="rId32" Type="http://schemas.openxmlformats.org/officeDocument/2006/relationships/table" Target="../tables/table57.xml"/><Relationship Id="rId37" Type="http://schemas.openxmlformats.org/officeDocument/2006/relationships/table" Target="../tables/table62.xml"/><Relationship Id="rId40" Type="http://schemas.openxmlformats.org/officeDocument/2006/relationships/table" Target="../tables/table65.xml"/><Relationship Id="rId45" Type="http://schemas.openxmlformats.org/officeDocument/2006/relationships/table" Target="../tables/table70.xml"/><Relationship Id="rId53" Type="http://schemas.openxmlformats.org/officeDocument/2006/relationships/table" Target="../tables/table78.xml"/><Relationship Id="rId58" Type="http://schemas.openxmlformats.org/officeDocument/2006/relationships/table" Target="../tables/table83.xml"/><Relationship Id="rId5" Type="http://schemas.openxmlformats.org/officeDocument/2006/relationships/table" Target="../tables/table30.xml"/><Relationship Id="rId61" Type="http://schemas.openxmlformats.org/officeDocument/2006/relationships/comments" Target="../comments6.xml"/><Relationship Id="rId19" Type="http://schemas.openxmlformats.org/officeDocument/2006/relationships/table" Target="../tables/table44.xml"/><Relationship Id="rId14" Type="http://schemas.openxmlformats.org/officeDocument/2006/relationships/table" Target="../tables/table39.xml"/><Relationship Id="rId22" Type="http://schemas.openxmlformats.org/officeDocument/2006/relationships/table" Target="../tables/table47.xml"/><Relationship Id="rId27" Type="http://schemas.openxmlformats.org/officeDocument/2006/relationships/table" Target="../tables/table52.xml"/><Relationship Id="rId30" Type="http://schemas.openxmlformats.org/officeDocument/2006/relationships/table" Target="../tables/table55.xml"/><Relationship Id="rId35" Type="http://schemas.openxmlformats.org/officeDocument/2006/relationships/table" Target="../tables/table60.xml"/><Relationship Id="rId43" Type="http://schemas.openxmlformats.org/officeDocument/2006/relationships/table" Target="../tables/table68.xml"/><Relationship Id="rId48" Type="http://schemas.openxmlformats.org/officeDocument/2006/relationships/table" Target="../tables/table73.xml"/><Relationship Id="rId56" Type="http://schemas.openxmlformats.org/officeDocument/2006/relationships/table" Target="../tables/table81.xml"/><Relationship Id="rId8" Type="http://schemas.openxmlformats.org/officeDocument/2006/relationships/table" Target="../tables/table33.xml"/><Relationship Id="rId51" Type="http://schemas.openxmlformats.org/officeDocument/2006/relationships/table" Target="../tables/table76.xml"/><Relationship Id="rId3" Type="http://schemas.openxmlformats.org/officeDocument/2006/relationships/table" Target="../tables/table28.xml"/><Relationship Id="rId12" Type="http://schemas.openxmlformats.org/officeDocument/2006/relationships/table" Target="../tables/table37.xml"/><Relationship Id="rId17" Type="http://schemas.openxmlformats.org/officeDocument/2006/relationships/table" Target="../tables/table42.xml"/><Relationship Id="rId25" Type="http://schemas.openxmlformats.org/officeDocument/2006/relationships/table" Target="../tables/table50.xml"/><Relationship Id="rId33" Type="http://schemas.openxmlformats.org/officeDocument/2006/relationships/table" Target="../tables/table58.xml"/><Relationship Id="rId38" Type="http://schemas.openxmlformats.org/officeDocument/2006/relationships/table" Target="../tables/table63.xml"/><Relationship Id="rId46" Type="http://schemas.openxmlformats.org/officeDocument/2006/relationships/table" Target="../tables/table71.xml"/><Relationship Id="rId59" Type="http://schemas.openxmlformats.org/officeDocument/2006/relationships/table" Target="../tables/table84.xml"/><Relationship Id="rId20" Type="http://schemas.openxmlformats.org/officeDocument/2006/relationships/table" Target="../tables/table45.xml"/><Relationship Id="rId41" Type="http://schemas.openxmlformats.org/officeDocument/2006/relationships/table" Target="../tables/table66.xml"/><Relationship Id="rId54" Type="http://schemas.openxmlformats.org/officeDocument/2006/relationships/table" Target="../tables/table79.xml"/><Relationship Id="rId1" Type="http://schemas.openxmlformats.org/officeDocument/2006/relationships/printerSettings" Target="../printerSettings/printerSettings24.bin"/><Relationship Id="rId6" Type="http://schemas.openxmlformats.org/officeDocument/2006/relationships/table" Target="../tables/table31.xml"/><Relationship Id="rId15" Type="http://schemas.openxmlformats.org/officeDocument/2006/relationships/table" Target="../tables/table40.xml"/><Relationship Id="rId23" Type="http://schemas.openxmlformats.org/officeDocument/2006/relationships/table" Target="../tables/table48.xml"/><Relationship Id="rId28" Type="http://schemas.openxmlformats.org/officeDocument/2006/relationships/table" Target="../tables/table53.xml"/><Relationship Id="rId36" Type="http://schemas.openxmlformats.org/officeDocument/2006/relationships/table" Target="../tables/table61.xml"/><Relationship Id="rId49" Type="http://schemas.openxmlformats.org/officeDocument/2006/relationships/table" Target="../tables/table74.xml"/><Relationship Id="rId57" Type="http://schemas.openxmlformats.org/officeDocument/2006/relationships/table" Target="../tables/table82.xml"/><Relationship Id="rId10" Type="http://schemas.openxmlformats.org/officeDocument/2006/relationships/table" Target="../tables/table35.xml"/><Relationship Id="rId31" Type="http://schemas.openxmlformats.org/officeDocument/2006/relationships/table" Target="../tables/table56.xml"/><Relationship Id="rId44" Type="http://schemas.openxmlformats.org/officeDocument/2006/relationships/table" Target="../tables/table69.xml"/><Relationship Id="rId52" Type="http://schemas.openxmlformats.org/officeDocument/2006/relationships/table" Target="../tables/table77.xml"/><Relationship Id="rId60" Type="http://schemas.openxmlformats.org/officeDocument/2006/relationships/table" Target="../tables/table85.xml"/><Relationship Id="rId4" Type="http://schemas.openxmlformats.org/officeDocument/2006/relationships/table" Target="../tables/table29.xml"/><Relationship Id="rId9" Type="http://schemas.openxmlformats.org/officeDocument/2006/relationships/table" Target="../tables/table3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R225"/>
  <sheetViews>
    <sheetView tabSelected="1" zoomScaleNormal="100" zoomScalePageLayoutView="125" workbookViewId="0">
      <selection activeCell="F21" sqref="F21:K21"/>
    </sheetView>
  </sheetViews>
  <sheetFormatPr defaultColWidth="11" defaultRowHeight="15.6" x14ac:dyDescent="0.3"/>
  <cols>
    <col min="1" max="1" width="1.8984375" customWidth="1"/>
    <col min="2" max="2" width="6" style="1" customWidth="1"/>
    <col min="3" max="3" width="9" style="1" customWidth="1"/>
    <col min="4" max="4" width="13.5" style="1" customWidth="1"/>
    <col min="5" max="5" width="13.09765625" style="1" customWidth="1"/>
    <col min="6" max="7" width="13.8984375" customWidth="1"/>
    <col min="8" max="8" width="18.59765625" style="1" customWidth="1"/>
    <col min="9" max="9" width="18.09765625" style="1" customWidth="1"/>
    <col min="10" max="10" width="23.59765625" customWidth="1"/>
    <col min="11" max="11" width="25.09765625" style="1" customWidth="1"/>
    <col min="12" max="12" width="6.09765625" style="1" customWidth="1"/>
    <col min="13" max="13" width="2" customWidth="1"/>
    <col min="14" max="18" width="0" hidden="1" customWidth="1"/>
  </cols>
  <sheetData>
    <row r="1" spans="1:18" ht="14.25" customHeight="1" thickBot="1" x14ac:dyDescent="0.35">
      <c r="A1" s="58"/>
      <c r="B1" s="59"/>
      <c r="C1" s="59"/>
      <c r="D1" s="59"/>
      <c r="E1" s="59"/>
      <c r="F1" s="59"/>
      <c r="G1" s="59"/>
      <c r="H1" s="59"/>
      <c r="I1" s="59"/>
      <c r="J1" s="59"/>
      <c r="K1" s="59"/>
      <c r="L1" s="59"/>
      <c r="M1" s="60"/>
    </row>
    <row r="2" spans="1:18" s="1" customFormat="1" ht="98.25" customHeight="1" x14ac:dyDescent="0.3">
      <c r="A2" s="61"/>
      <c r="B2" s="1393" t="s">
        <v>1912</v>
      </c>
      <c r="C2" s="1394"/>
      <c r="D2" s="1394"/>
      <c r="E2" s="1394"/>
      <c r="F2" s="1394"/>
      <c r="G2" s="1394"/>
      <c r="H2" s="1394"/>
      <c r="I2" s="1394"/>
      <c r="J2" s="1394"/>
      <c r="K2" s="1394"/>
      <c r="L2" s="1395"/>
      <c r="M2" s="62"/>
    </row>
    <row r="3" spans="1:18" ht="24" customHeight="1" thickBot="1" x14ac:dyDescent="0.35">
      <c r="A3" s="61"/>
      <c r="B3" s="70"/>
      <c r="C3" s="17"/>
      <c r="D3" s="17"/>
      <c r="E3" s="17"/>
      <c r="F3" s="17"/>
      <c r="G3" s="17"/>
      <c r="H3" s="17"/>
      <c r="I3" s="17"/>
      <c r="J3" s="17"/>
      <c r="K3" s="17"/>
      <c r="L3" s="71"/>
      <c r="M3" s="62"/>
      <c r="P3" t="s">
        <v>95</v>
      </c>
      <c r="R3" s="38" t="s">
        <v>162</v>
      </c>
    </row>
    <row r="4" spans="1:18" s="16" customFormat="1" ht="29.25" customHeight="1" x14ac:dyDescent="0.3">
      <c r="A4" s="61"/>
      <c r="B4" s="70"/>
      <c r="C4" s="1389" t="s">
        <v>87</v>
      </c>
      <c r="D4" s="1390"/>
      <c r="E4" s="1390"/>
      <c r="F4" s="165" t="s">
        <v>94</v>
      </c>
      <c r="G4" s="165" t="s">
        <v>421</v>
      </c>
      <c r="H4" s="165" t="s">
        <v>1913</v>
      </c>
      <c r="I4" s="165" t="s">
        <v>1914</v>
      </c>
      <c r="J4" s="166" t="s">
        <v>417</v>
      </c>
      <c r="K4" s="167" t="s">
        <v>418</v>
      </c>
      <c r="L4" s="71"/>
      <c r="M4" s="62"/>
      <c r="N4" s="36" t="s">
        <v>92</v>
      </c>
      <c r="P4" t="s">
        <v>96</v>
      </c>
      <c r="R4" s="38" t="s">
        <v>163</v>
      </c>
    </row>
    <row r="5" spans="1:18" s="16" customFormat="1" x14ac:dyDescent="0.3">
      <c r="A5" s="61"/>
      <c r="B5" s="70"/>
      <c r="C5" s="1391"/>
      <c r="D5" s="1392"/>
      <c r="E5" s="1392"/>
      <c r="F5" s="149"/>
      <c r="G5" s="149"/>
      <c r="H5" s="149"/>
      <c r="I5" s="149"/>
      <c r="J5" s="150"/>
      <c r="K5" s="151"/>
      <c r="L5" s="71"/>
      <c r="M5" s="62"/>
      <c r="N5" s="36" t="s">
        <v>93</v>
      </c>
      <c r="P5" t="s">
        <v>97</v>
      </c>
      <c r="R5" s="38" t="s">
        <v>164</v>
      </c>
    </row>
    <row r="6" spans="1:18" s="16" customFormat="1" ht="29.25" customHeight="1" x14ac:dyDescent="0.3">
      <c r="A6" s="61"/>
      <c r="B6" s="70"/>
      <c r="C6" s="1396" t="s">
        <v>88</v>
      </c>
      <c r="D6" s="1397"/>
      <c r="E6" s="168" t="s">
        <v>50</v>
      </c>
      <c r="F6" s="168" t="s">
        <v>89</v>
      </c>
      <c r="G6" s="168" t="s">
        <v>52</v>
      </c>
      <c r="H6" s="168" t="s">
        <v>161</v>
      </c>
      <c r="I6" s="170" t="s">
        <v>419</v>
      </c>
      <c r="J6" s="170" t="s">
        <v>423</v>
      </c>
      <c r="K6" s="169" t="s">
        <v>424</v>
      </c>
      <c r="L6" s="71"/>
      <c r="M6" s="62"/>
      <c r="P6" t="s">
        <v>98</v>
      </c>
      <c r="R6" s="38" t="s">
        <v>165</v>
      </c>
    </row>
    <row r="7" spans="1:18" s="16" customFormat="1" x14ac:dyDescent="0.3">
      <c r="A7" s="61"/>
      <c r="B7" s="70"/>
      <c r="C7" s="1391"/>
      <c r="D7" s="1392"/>
      <c r="E7" s="154"/>
      <c r="F7" s="152"/>
      <c r="G7" s="152"/>
      <c r="H7" s="152"/>
      <c r="I7" s="150"/>
      <c r="J7" s="154"/>
      <c r="K7" s="153"/>
      <c r="L7" s="71"/>
      <c r="M7" s="62"/>
      <c r="N7" s="16" t="s">
        <v>92</v>
      </c>
      <c r="O7" s="17"/>
      <c r="P7" t="s">
        <v>99</v>
      </c>
      <c r="R7" s="38" t="s">
        <v>166</v>
      </c>
    </row>
    <row r="8" spans="1:18" s="16" customFormat="1" ht="47.25" customHeight="1" x14ac:dyDescent="0.3">
      <c r="A8" s="61"/>
      <c r="B8" s="70"/>
      <c r="C8" s="1449" t="s">
        <v>1916</v>
      </c>
      <c r="D8" s="1450"/>
      <c r="E8" s="1450" t="s">
        <v>1917</v>
      </c>
      <c r="F8" s="1450"/>
      <c r="G8" s="171" t="s">
        <v>425</v>
      </c>
      <c r="H8" s="172" t="s">
        <v>420</v>
      </c>
      <c r="I8" s="1441" t="s">
        <v>465</v>
      </c>
      <c r="J8" s="1441"/>
      <c r="K8" s="173" t="s">
        <v>1918</v>
      </c>
      <c r="L8" s="71"/>
      <c r="M8" s="62"/>
      <c r="N8" s="148" t="s">
        <v>422</v>
      </c>
      <c r="P8" t="s">
        <v>100</v>
      </c>
      <c r="R8" s="38" t="s">
        <v>167</v>
      </c>
    </row>
    <row r="9" spans="1:18" s="16" customFormat="1" x14ac:dyDescent="0.3">
      <c r="A9" s="61"/>
      <c r="B9" s="70"/>
      <c r="C9" s="1444"/>
      <c r="D9" s="1445"/>
      <c r="E9" s="1446"/>
      <c r="F9" s="1447"/>
      <c r="G9" s="150"/>
      <c r="H9" s="150"/>
      <c r="I9" s="1392"/>
      <c r="J9" s="1392"/>
      <c r="K9" s="174" t="str">
        <f>IF(ISBLANK(I9),"Select value I9",IF(AND(K11&lt;&gt;"YES",K11&lt;&gt;"NO")," ",IF(AND(K11="YES",I9="Yes"),"YES","NO")))</f>
        <v>Select value I9</v>
      </c>
      <c r="L9" s="71"/>
      <c r="M9" s="62"/>
      <c r="N9" s="148" t="s">
        <v>93</v>
      </c>
      <c r="P9" t="s">
        <v>101</v>
      </c>
      <c r="R9" s="38" t="s">
        <v>168</v>
      </c>
    </row>
    <row r="10" spans="1:18" s="16" customFormat="1" ht="29.25" customHeight="1" x14ac:dyDescent="0.3">
      <c r="A10" s="61"/>
      <c r="B10" s="70"/>
      <c r="C10" s="175" t="s">
        <v>90</v>
      </c>
      <c r="D10" s="172"/>
      <c r="E10" s="172" t="s">
        <v>91</v>
      </c>
      <c r="F10" s="1441"/>
      <c r="G10" s="1441"/>
      <c r="H10" s="1441"/>
      <c r="I10" s="1441"/>
      <c r="J10" s="172" t="s">
        <v>416</v>
      </c>
      <c r="K10" s="176"/>
      <c r="L10" s="71"/>
      <c r="M10" s="62"/>
      <c r="P10" t="s">
        <v>102</v>
      </c>
      <c r="R10" s="38" t="s">
        <v>169</v>
      </c>
    </row>
    <row r="11" spans="1:18" s="16" customFormat="1" ht="15" customHeight="1" thickBot="1" x14ac:dyDescent="0.35">
      <c r="A11" s="61"/>
      <c r="B11" s="70"/>
      <c r="C11" s="155"/>
      <c r="D11" s="156"/>
      <c r="E11" s="156"/>
      <c r="F11" s="1448"/>
      <c r="G11" s="1448"/>
      <c r="H11" s="1442"/>
      <c r="I11" s="1443"/>
      <c r="J11" s="157"/>
      <c r="K11" s="177" t="str">
        <f>IF(ISBLANK(F7),"Select value F7",IF(OR(F7="AK Alaska",F7="CA California"),"NO",IF(AND(F7&lt;&gt;"CA California",F7&lt;&gt;"AK Alaska",ISBLANK(H7)),"Select value H7",IF(H7&lt;&gt;"United States ","NO",IF(AND(H7="United States ",ISBLANK(E11)),"Select value E11",IF(AND(ISNUMBER(E11),E11&lt;=3),"YES",IF(E11&gt;5,"NO",IF(AND(E11&gt;3,E11&lt;6,ISBLANK(F11)),"Select value F11",IF(F11="No","NO",IF(AND(F11="Yes",ISBLANK(H11)),"Select value H11",IF(H11="No","NO",IF(H11="Yes","YES",IF(AND(H11="Heating/Cooling Only",ISBLANK(J11)),"Select value J11",IF(J11="Yes","YES","NO"))))))))))))))</f>
        <v>Select value F7</v>
      </c>
      <c r="L11" s="71"/>
      <c r="M11" s="62"/>
      <c r="P11" t="s">
        <v>103</v>
      </c>
      <c r="R11" t="s">
        <v>170</v>
      </c>
    </row>
    <row r="12" spans="1:18" s="16" customFormat="1" ht="8.4" customHeight="1" x14ac:dyDescent="0.3">
      <c r="A12" s="61"/>
      <c r="B12" s="70"/>
      <c r="C12" s="35"/>
      <c r="D12" s="35"/>
      <c r="E12" s="35"/>
      <c r="F12" s="35"/>
      <c r="G12" s="35"/>
      <c r="H12" s="35"/>
      <c r="I12" s="35"/>
      <c r="J12" s="35"/>
      <c r="K12" s="35"/>
      <c r="L12" s="71"/>
      <c r="M12" s="62"/>
      <c r="P12" t="s">
        <v>104</v>
      </c>
      <c r="R12" s="38" t="s">
        <v>171</v>
      </c>
    </row>
    <row r="13" spans="1:18" s="1" customFormat="1" ht="237" customHeight="1" x14ac:dyDescent="0.3">
      <c r="A13" s="61"/>
      <c r="B13" s="1398" t="s">
        <v>1915</v>
      </c>
      <c r="C13" s="1399"/>
      <c r="D13" s="1399"/>
      <c r="E13" s="1399"/>
      <c r="F13" s="1399"/>
      <c r="G13" s="1399"/>
      <c r="H13" s="1399"/>
      <c r="I13" s="1399"/>
      <c r="J13" s="1399"/>
      <c r="K13" s="1399"/>
      <c r="L13" s="1400"/>
      <c r="M13" s="62"/>
      <c r="P13" t="s">
        <v>105</v>
      </c>
      <c r="R13" s="38" t="s">
        <v>172</v>
      </c>
    </row>
    <row r="14" spans="1:18" s="1" customFormat="1" ht="212.25" customHeight="1" x14ac:dyDescent="0.3">
      <c r="A14" s="61"/>
      <c r="B14" s="1398" t="s">
        <v>494</v>
      </c>
      <c r="C14" s="1399"/>
      <c r="D14" s="1399"/>
      <c r="E14" s="1399"/>
      <c r="F14" s="1399"/>
      <c r="G14" s="1399"/>
      <c r="H14" s="1399"/>
      <c r="I14" s="1399"/>
      <c r="J14" s="1399"/>
      <c r="K14" s="1399"/>
      <c r="L14" s="1400"/>
      <c r="M14" s="62"/>
      <c r="P14" t="s">
        <v>106</v>
      </c>
      <c r="R14" s="38" t="s">
        <v>173</v>
      </c>
    </row>
    <row r="15" spans="1:18" s="1" customFormat="1" ht="20.100000000000001" customHeight="1" thickBot="1" x14ac:dyDescent="0.35">
      <c r="A15" s="61"/>
      <c r="B15" s="1398" t="s">
        <v>431</v>
      </c>
      <c r="C15" s="1399"/>
      <c r="D15" s="1399"/>
      <c r="E15" s="1399"/>
      <c r="F15" s="1399"/>
      <c r="G15" s="1399"/>
      <c r="H15" s="1399"/>
      <c r="I15" s="1399"/>
      <c r="J15" s="1399"/>
      <c r="K15" s="1401"/>
      <c r="L15" s="71"/>
      <c r="M15" s="62"/>
      <c r="P15" t="s">
        <v>107</v>
      </c>
      <c r="R15" s="38" t="s">
        <v>174</v>
      </c>
    </row>
    <row r="16" spans="1:18" s="1" customFormat="1" ht="18.600000000000001" thickBot="1" x14ac:dyDescent="0.4">
      <c r="A16" s="61"/>
      <c r="B16" s="70"/>
      <c r="C16" s="1432" t="s">
        <v>383</v>
      </c>
      <c r="D16" s="1433"/>
      <c r="E16" s="1433"/>
      <c r="F16" s="1433"/>
      <c r="G16" s="1433"/>
      <c r="H16" s="1433"/>
      <c r="I16" s="1433"/>
      <c r="J16" s="1433"/>
      <c r="K16" s="1434"/>
      <c r="L16" s="71"/>
      <c r="M16" s="62"/>
      <c r="P16" t="s">
        <v>108</v>
      </c>
      <c r="R16" s="38" t="s">
        <v>175</v>
      </c>
    </row>
    <row r="17" spans="1:18" s="1" customFormat="1" x14ac:dyDescent="0.3">
      <c r="A17" s="61"/>
      <c r="B17" s="70"/>
      <c r="C17" s="1435" t="s">
        <v>46</v>
      </c>
      <c r="D17" s="1436"/>
      <c r="E17" s="1437"/>
      <c r="F17" s="1417" t="s">
        <v>1937</v>
      </c>
      <c r="G17" s="1417"/>
      <c r="H17" s="1418"/>
      <c r="I17" s="1418"/>
      <c r="J17" s="1418"/>
      <c r="K17" s="1419"/>
      <c r="L17" s="71"/>
      <c r="M17" s="62"/>
      <c r="P17" t="s">
        <v>109</v>
      </c>
      <c r="R17" s="38" t="s">
        <v>176</v>
      </c>
    </row>
    <row r="18" spans="1:18" s="1" customFormat="1" x14ac:dyDescent="0.3">
      <c r="A18" s="61"/>
      <c r="B18" s="70"/>
      <c r="C18" s="1438" t="s">
        <v>392</v>
      </c>
      <c r="D18" s="1439"/>
      <c r="E18" s="1440"/>
      <c r="F18" s="1414" t="s">
        <v>1937</v>
      </c>
      <c r="G18" s="1414"/>
      <c r="H18" s="1415"/>
      <c r="I18" s="1415"/>
      <c r="J18" s="1415"/>
      <c r="K18" s="1416"/>
      <c r="L18" s="71"/>
      <c r="M18" s="62"/>
      <c r="P18" t="s">
        <v>110</v>
      </c>
      <c r="R18" s="38"/>
    </row>
    <row r="19" spans="1:18" s="1" customFormat="1" x14ac:dyDescent="0.3">
      <c r="A19" s="61"/>
      <c r="B19" s="70"/>
      <c r="C19" s="1426" t="s">
        <v>47</v>
      </c>
      <c r="D19" s="1427"/>
      <c r="E19" s="1428" t="s">
        <v>47</v>
      </c>
      <c r="F19" s="1414" t="s">
        <v>1937</v>
      </c>
      <c r="G19" s="1414"/>
      <c r="H19" s="1415"/>
      <c r="I19" s="1415"/>
      <c r="J19" s="1415"/>
      <c r="K19" s="1416"/>
      <c r="L19" s="71"/>
      <c r="M19" s="62"/>
      <c r="P19"/>
      <c r="R19" s="38" t="s">
        <v>177</v>
      </c>
    </row>
    <row r="20" spans="1:18" s="1" customFormat="1" x14ac:dyDescent="0.3">
      <c r="A20" s="61"/>
      <c r="B20" s="70"/>
      <c r="C20" s="1426" t="s">
        <v>57</v>
      </c>
      <c r="D20" s="1427"/>
      <c r="E20" s="1428" t="s">
        <v>57</v>
      </c>
      <c r="F20" s="1414" t="s">
        <v>1938</v>
      </c>
      <c r="G20" s="1414"/>
      <c r="H20" s="1415"/>
      <c r="I20" s="1415"/>
      <c r="J20" s="1415"/>
      <c r="K20" s="1416"/>
      <c r="L20" s="71"/>
      <c r="M20" s="62"/>
      <c r="P20" t="s">
        <v>111</v>
      </c>
      <c r="R20" s="38" t="s">
        <v>178</v>
      </c>
    </row>
    <row r="21" spans="1:18" s="1" customFormat="1" x14ac:dyDescent="0.3">
      <c r="A21" s="61"/>
      <c r="B21" s="70"/>
      <c r="C21" s="1426" t="s">
        <v>76</v>
      </c>
      <c r="D21" s="1427"/>
      <c r="E21" s="1428" t="s">
        <v>76</v>
      </c>
      <c r="F21" s="1414" t="s">
        <v>1937</v>
      </c>
      <c r="G21" s="1414"/>
      <c r="H21" s="1415"/>
      <c r="I21" s="1415"/>
      <c r="J21" s="1415"/>
      <c r="K21" s="1416"/>
      <c r="L21" s="71"/>
      <c r="M21" s="62"/>
      <c r="P21" t="s">
        <v>112</v>
      </c>
      <c r="R21" s="38" t="s">
        <v>179</v>
      </c>
    </row>
    <row r="22" spans="1:18" s="1" customFormat="1" x14ac:dyDescent="0.3">
      <c r="A22" s="61"/>
      <c r="B22" s="70"/>
      <c r="C22" s="1426" t="s">
        <v>77</v>
      </c>
      <c r="D22" s="1427"/>
      <c r="E22" s="1428" t="s">
        <v>77</v>
      </c>
      <c r="F22" s="1414" t="s">
        <v>1937</v>
      </c>
      <c r="G22" s="1414"/>
      <c r="H22" s="1415"/>
      <c r="I22" s="1415"/>
      <c r="J22" s="1415"/>
      <c r="K22" s="1416"/>
      <c r="L22" s="71"/>
      <c r="M22" s="62"/>
      <c r="P22" t="s">
        <v>113</v>
      </c>
      <c r="R22" s="38" t="s">
        <v>180</v>
      </c>
    </row>
    <row r="23" spans="1:18" s="1" customFormat="1" ht="16.2" thickBot="1" x14ac:dyDescent="0.35">
      <c r="A23" s="61"/>
      <c r="B23" s="70"/>
      <c r="C23" s="1429" t="s">
        <v>48</v>
      </c>
      <c r="D23" s="1430"/>
      <c r="E23" s="1431" t="s">
        <v>48</v>
      </c>
      <c r="F23" s="1420" t="s">
        <v>1937</v>
      </c>
      <c r="G23" s="1420"/>
      <c r="H23" s="1421"/>
      <c r="I23" s="1421"/>
      <c r="J23" s="1421"/>
      <c r="K23" s="1422"/>
      <c r="L23" s="71"/>
      <c r="M23" s="62"/>
      <c r="P23" t="s">
        <v>114</v>
      </c>
      <c r="R23" s="38" t="s">
        <v>181</v>
      </c>
    </row>
    <row r="24" spans="1:18" s="1" customFormat="1" ht="39" customHeight="1" x14ac:dyDescent="0.3">
      <c r="A24" s="61"/>
      <c r="B24" s="1405" t="s">
        <v>59</v>
      </c>
      <c r="C24" s="1406"/>
      <c r="D24" s="1406"/>
      <c r="E24" s="1406"/>
      <c r="F24" s="1406"/>
      <c r="G24" s="1406"/>
      <c r="H24" s="1406"/>
      <c r="I24" s="1406"/>
      <c r="J24" s="1406"/>
      <c r="K24" s="1407"/>
      <c r="L24" s="71"/>
      <c r="M24" s="62"/>
      <c r="P24" t="s">
        <v>115</v>
      </c>
      <c r="R24" s="38" t="s">
        <v>182</v>
      </c>
    </row>
    <row r="25" spans="1:18" s="1" customFormat="1" ht="78" customHeight="1" x14ac:dyDescent="0.3">
      <c r="A25" s="61"/>
      <c r="B25" s="1411" t="s">
        <v>60</v>
      </c>
      <c r="C25" s="1412"/>
      <c r="D25" s="1412"/>
      <c r="E25" s="1412"/>
      <c r="F25" s="1412"/>
      <c r="G25" s="1412"/>
      <c r="H25" s="1412"/>
      <c r="I25" s="1412"/>
      <c r="J25" s="1412"/>
      <c r="K25" s="1413"/>
      <c r="L25" s="71"/>
      <c r="M25" s="62"/>
      <c r="P25" t="s">
        <v>116</v>
      </c>
      <c r="R25" s="38" t="s">
        <v>183</v>
      </c>
    </row>
    <row r="26" spans="1:18" s="1" customFormat="1" ht="36.75" customHeight="1" x14ac:dyDescent="0.3">
      <c r="A26" s="61"/>
      <c r="B26" s="1408" t="s">
        <v>382</v>
      </c>
      <c r="C26" s="1409"/>
      <c r="D26" s="1409"/>
      <c r="E26" s="1409"/>
      <c r="F26" s="1409"/>
      <c r="G26" s="1409"/>
      <c r="H26" s="1409"/>
      <c r="I26" s="1409"/>
      <c r="J26" s="1409"/>
      <c r="K26" s="1410"/>
      <c r="L26" s="71"/>
      <c r="M26" s="62"/>
      <c r="P26" t="s">
        <v>117</v>
      </c>
      <c r="R26" t="s">
        <v>184</v>
      </c>
    </row>
    <row r="27" spans="1:18" s="1" customFormat="1" ht="82.5" customHeight="1" x14ac:dyDescent="0.3">
      <c r="A27" s="61"/>
      <c r="B27" s="1405" t="s">
        <v>495</v>
      </c>
      <c r="C27" s="1406"/>
      <c r="D27" s="1406"/>
      <c r="E27" s="1406"/>
      <c r="F27" s="1406"/>
      <c r="G27" s="1406"/>
      <c r="H27" s="1406"/>
      <c r="I27" s="1406"/>
      <c r="J27" s="1406"/>
      <c r="K27" s="1407"/>
      <c r="L27" s="71"/>
      <c r="M27" s="62"/>
      <c r="P27" t="s">
        <v>118</v>
      </c>
      <c r="R27" s="38" t="s">
        <v>185</v>
      </c>
    </row>
    <row r="28" spans="1:18" s="1" customFormat="1" x14ac:dyDescent="0.3">
      <c r="A28" s="61"/>
      <c r="B28" s="1402" t="s">
        <v>441</v>
      </c>
      <c r="C28" s="1403"/>
      <c r="D28" s="1403"/>
      <c r="E28" s="1403"/>
      <c r="F28" s="1403"/>
      <c r="G28" s="1403"/>
      <c r="H28" s="1403"/>
      <c r="I28" s="1403"/>
      <c r="J28" s="1403"/>
      <c r="K28" s="1404"/>
      <c r="L28" s="71"/>
      <c r="M28" s="62"/>
      <c r="P28" t="s">
        <v>119</v>
      </c>
      <c r="R28" s="38" t="s">
        <v>186</v>
      </c>
    </row>
    <row r="29" spans="1:18" s="1" customFormat="1" x14ac:dyDescent="0.3">
      <c r="A29" s="61"/>
      <c r="B29" s="295" t="s">
        <v>497</v>
      </c>
      <c r="C29" s="294"/>
      <c r="D29" s="294"/>
      <c r="E29" s="294"/>
      <c r="F29" s="294"/>
      <c r="G29" s="294"/>
      <c r="H29" s="294"/>
      <c r="I29" s="294"/>
      <c r="J29" s="294"/>
      <c r="K29" s="294"/>
      <c r="L29" s="71"/>
      <c r="M29" s="62"/>
      <c r="P29"/>
      <c r="R29" s="38"/>
    </row>
    <row r="30" spans="1:18" s="1" customFormat="1" x14ac:dyDescent="0.3">
      <c r="A30" s="61"/>
      <c r="B30" s="301"/>
      <c r="C30" s="37"/>
      <c r="D30" s="37"/>
      <c r="E30" s="37"/>
      <c r="F30" s="37"/>
      <c r="G30" s="37"/>
      <c r="H30" s="37"/>
      <c r="I30" s="141"/>
      <c r="J30" s="37"/>
      <c r="K30" s="37"/>
      <c r="L30" s="71"/>
      <c r="M30" s="62"/>
      <c r="P30" t="s">
        <v>120</v>
      </c>
      <c r="R30" t="s">
        <v>187</v>
      </c>
    </row>
    <row r="31" spans="1:18" s="1" customFormat="1" ht="36.75" customHeight="1" thickBot="1" x14ac:dyDescent="0.35">
      <c r="A31" s="61"/>
      <c r="B31" s="1423" t="s">
        <v>466</v>
      </c>
      <c r="C31" s="1424"/>
      <c r="D31" s="1424"/>
      <c r="E31" s="1424"/>
      <c r="F31" s="1424"/>
      <c r="G31" s="1424"/>
      <c r="H31" s="1424"/>
      <c r="I31" s="1424"/>
      <c r="J31" s="1424"/>
      <c r="K31" s="1424"/>
      <c r="L31" s="1425"/>
      <c r="M31" s="62"/>
      <c r="P31"/>
      <c r="R31" s="38" t="s">
        <v>188</v>
      </c>
    </row>
    <row r="32" spans="1:18" s="1" customFormat="1" ht="47.4" customHeight="1" thickBot="1" x14ac:dyDescent="0.35">
      <c r="A32" s="61"/>
      <c r="B32" s="1388" t="s">
        <v>496</v>
      </c>
      <c r="C32" s="1388"/>
      <c r="D32" s="1388"/>
      <c r="E32" s="1388"/>
      <c r="F32" s="1388"/>
      <c r="G32" s="1388"/>
      <c r="H32" s="1388"/>
      <c r="I32" s="1388"/>
      <c r="J32" s="1388"/>
      <c r="K32" s="1388"/>
      <c r="L32" s="302"/>
      <c r="M32" s="62"/>
      <c r="P32"/>
      <c r="R32" s="38"/>
    </row>
    <row r="33" spans="1:18" s="1" customFormat="1" ht="16.2" thickBot="1" x14ac:dyDescent="0.35">
      <c r="A33" s="63"/>
      <c r="B33" s="68"/>
      <c r="C33" s="68"/>
      <c r="D33" s="68"/>
      <c r="E33" s="68"/>
      <c r="F33" s="68"/>
      <c r="G33" s="68"/>
      <c r="H33" s="68"/>
      <c r="I33" s="68"/>
      <c r="J33" s="68"/>
      <c r="K33" s="68"/>
      <c r="L33" s="68"/>
      <c r="M33" s="69"/>
      <c r="P33" t="s">
        <v>121</v>
      </c>
      <c r="R33" s="38" t="s">
        <v>189</v>
      </c>
    </row>
    <row r="34" spans="1:18" x14ac:dyDescent="0.3">
      <c r="P34" t="s">
        <v>122</v>
      </c>
      <c r="R34" s="38" t="s">
        <v>190</v>
      </c>
    </row>
    <row r="35" spans="1:18" x14ac:dyDescent="0.3">
      <c r="P35" t="s">
        <v>123</v>
      </c>
      <c r="R35" s="38" t="s">
        <v>191</v>
      </c>
    </row>
    <row r="36" spans="1:18" x14ac:dyDescent="0.3">
      <c r="P36" t="s">
        <v>124</v>
      </c>
      <c r="R36" s="38" t="s">
        <v>192</v>
      </c>
    </row>
    <row r="37" spans="1:18" x14ac:dyDescent="0.3">
      <c r="P37" t="s">
        <v>125</v>
      </c>
      <c r="R37" s="38" t="s">
        <v>193</v>
      </c>
    </row>
    <row r="38" spans="1:18" x14ac:dyDescent="0.3">
      <c r="P38" t="s">
        <v>126</v>
      </c>
      <c r="R38" s="38" t="s">
        <v>194</v>
      </c>
    </row>
    <row r="39" spans="1:18" x14ac:dyDescent="0.3">
      <c r="P39" t="s">
        <v>127</v>
      </c>
      <c r="R39" s="38" t="s">
        <v>195</v>
      </c>
    </row>
    <row r="40" spans="1:18" x14ac:dyDescent="0.3">
      <c r="P40" t="s">
        <v>128</v>
      </c>
      <c r="R40" s="38" t="s">
        <v>196</v>
      </c>
    </row>
    <row r="41" spans="1:18" x14ac:dyDescent="0.3">
      <c r="P41" t="s">
        <v>129</v>
      </c>
      <c r="R41" t="s">
        <v>197</v>
      </c>
    </row>
    <row r="42" spans="1:18" x14ac:dyDescent="0.3">
      <c r="P42" t="s">
        <v>130</v>
      </c>
      <c r="R42" s="38" t="s">
        <v>198</v>
      </c>
    </row>
    <row r="43" spans="1:18" x14ac:dyDescent="0.3">
      <c r="P43" t="s">
        <v>131</v>
      </c>
      <c r="R43" s="38" t="s">
        <v>199</v>
      </c>
    </row>
    <row r="44" spans="1:18" x14ac:dyDescent="0.3">
      <c r="P44" t="s">
        <v>132</v>
      </c>
      <c r="R44" s="38" t="s">
        <v>200</v>
      </c>
    </row>
    <row r="45" spans="1:18" x14ac:dyDescent="0.3">
      <c r="P45" t="s">
        <v>133</v>
      </c>
      <c r="R45" s="38" t="s">
        <v>201</v>
      </c>
    </row>
    <row r="46" spans="1:18" x14ac:dyDescent="0.3">
      <c r="P46" t="s">
        <v>134</v>
      </c>
      <c r="R46" s="38" t="s">
        <v>202</v>
      </c>
    </row>
    <row r="47" spans="1:18" x14ac:dyDescent="0.3">
      <c r="P47" t="s">
        <v>135</v>
      </c>
      <c r="R47" t="s">
        <v>203</v>
      </c>
    </row>
    <row r="48" spans="1:18" x14ac:dyDescent="0.3">
      <c r="P48" t="s">
        <v>136</v>
      </c>
      <c r="R48" t="s">
        <v>204</v>
      </c>
    </row>
    <row r="49" spans="16:18" x14ac:dyDescent="0.3">
      <c r="P49" t="s">
        <v>137</v>
      </c>
      <c r="R49" s="38" t="s">
        <v>205</v>
      </c>
    </row>
    <row r="50" spans="16:18" x14ac:dyDescent="0.3">
      <c r="P50" t="s">
        <v>138</v>
      </c>
      <c r="R50" s="38" t="s">
        <v>206</v>
      </c>
    </row>
    <row r="51" spans="16:18" x14ac:dyDescent="0.3">
      <c r="P51" t="s">
        <v>139</v>
      </c>
      <c r="R51" s="38" t="s">
        <v>207</v>
      </c>
    </row>
    <row r="52" spans="16:18" x14ac:dyDescent="0.3">
      <c r="P52" t="s">
        <v>140</v>
      </c>
      <c r="R52" s="38" t="s">
        <v>208</v>
      </c>
    </row>
    <row r="53" spans="16:18" x14ac:dyDescent="0.3">
      <c r="P53" t="s">
        <v>141</v>
      </c>
      <c r="R53" s="38" t="s">
        <v>209</v>
      </c>
    </row>
    <row r="54" spans="16:18" x14ac:dyDescent="0.3">
      <c r="P54" t="s">
        <v>142</v>
      </c>
      <c r="R54" s="38" t="s">
        <v>210</v>
      </c>
    </row>
    <row r="55" spans="16:18" x14ac:dyDescent="0.3">
      <c r="P55" t="s">
        <v>143</v>
      </c>
      <c r="R55" s="38" t="s">
        <v>211</v>
      </c>
    </row>
    <row r="56" spans="16:18" x14ac:dyDescent="0.3">
      <c r="P56" t="s">
        <v>144</v>
      </c>
      <c r="R56" s="38" t="s">
        <v>212</v>
      </c>
    </row>
    <row r="57" spans="16:18" x14ac:dyDescent="0.3">
      <c r="P57" t="s">
        <v>145</v>
      </c>
      <c r="R57" s="38" t="s">
        <v>213</v>
      </c>
    </row>
    <row r="58" spans="16:18" x14ac:dyDescent="0.3">
      <c r="P58" t="s">
        <v>146</v>
      </c>
      <c r="R58" s="38" t="s">
        <v>214</v>
      </c>
    </row>
    <row r="59" spans="16:18" x14ac:dyDescent="0.3">
      <c r="P59" t="s">
        <v>147</v>
      </c>
      <c r="R59" t="s">
        <v>215</v>
      </c>
    </row>
    <row r="60" spans="16:18" x14ac:dyDescent="0.3">
      <c r="P60" t="s">
        <v>148</v>
      </c>
      <c r="R60" s="38" t="s">
        <v>216</v>
      </c>
    </row>
    <row r="61" spans="16:18" x14ac:dyDescent="0.3">
      <c r="P61" t="s">
        <v>149</v>
      </c>
      <c r="R61" s="38" t="s">
        <v>217</v>
      </c>
    </row>
    <row r="62" spans="16:18" x14ac:dyDescent="0.3">
      <c r="P62" t="s">
        <v>150</v>
      </c>
      <c r="R62" s="38" t="s">
        <v>218</v>
      </c>
    </row>
    <row r="63" spans="16:18" x14ac:dyDescent="0.3">
      <c r="P63" t="s">
        <v>151</v>
      </c>
      <c r="R63" s="38" t="s">
        <v>219</v>
      </c>
    </row>
    <row r="64" spans="16:18" x14ac:dyDescent="0.3">
      <c r="P64" t="s">
        <v>152</v>
      </c>
      <c r="R64" s="38" t="s">
        <v>220</v>
      </c>
    </row>
    <row r="65" spans="16:18" x14ac:dyDescent="0.3">
      <c r="P65" t="s">
        <v>153</v>
      </c>
      <c r="R65" s="38" t="s">
        <v>221</v>
      </c>
    </row>
    <row r="66" spans="16:18" x14ac:dyDescent="0.3">
      <c r="P66" t="s">
        <v>154</v>
      </c>
      <c r="R66" s="38" t="s">
        <v>222</v>
      </c>
    </row>
    <row r="67" spans="16:18" x14ac:dyDescent="0.3">
      <c r="P67" t="s">
        <v>155</v>
      </c>
      <c r="R67" s="38" t="s">
        <v>223</v>
      </c>
    </row>
    <row r="68" spans="16:18" x14ac:dyDescent="0.3">
      <c r="P68" t="s">
        <v>156</v>
      </c>
      <c r="R68" s="38" t="s">
        <v>224</v>
      </c>
    </row>
    <row r="69" spans="16:18" x14ac:dyDescent="0.3">
      <c r="P69" t="s">
        <v>157</v>
      </c>
      <c r="R69" s="38" t="s">
        <v>225</v>
      </c>
    </row>
    <row r="70" spans="16:18" x14ac:dyDescent="0.3">
      <c r="P70" t="s">
        <v>158</v>
      </c>
      <c r="R70" s="38" t="s">
        <v>226</v>
      </c>
    </row>
    <row r="71" spans="16:18" x14ac:dyDescent="0.3">
      <c r="P71" t="s">
        <v>159</v>
      </c>
      <c r="R71" s="38" t="s">
        <v>227</v>
      </c>
    </row>
    <row r="72" spans="16:18" x14ac:dyDescent="0.3">
      <c r="P72" t="s">
        <v>160</v>
      </c>
      <c r="R72" s="38" t="s">
        <v>228</v>
      </c>
    </row>
    <row r="73" spans="16:18" x14ac:dyDescent="0.3">
      <c r="R73" s="38" t="s">
        <v>229</v>
      </c>
    </row>
    <row r="74" spans="16:18" x14ac:dyDescent="0.3">
      <c r="R74" s="38" t="s">
        <v>230</v>
      </c>
    </row>
    <row r="75" spans="16:18" x14ac:dyDescent="0.3">
      <c r="R75" s="38" t="s">
        <v>231</v>
      </c>
    </row>
    <row r="76" spans="16:18" x14ac:dyDescent="0.3">
      <c r="R76" s="38" t="s">
        <v>232</v>
      </c>
    </row>
    <row r="77" spans="16:18" x14ac:dyDescent="0.3">
      <c r="R77" s="38" t="s">
        <v>233</v>
      </c>
    </row>
    <row r="78" spans="16:18" x14ac:dyDescent="0.3">
      <c r="R78" s="38" t="s">
        <v>234</v>
      </c>
    </row>
    <row r="79" spans="16:18" x14ac:dyDescent="0.3">
      <c r="R79" s="38" t="s">
        <v>235</v>
      </c>
    </row>
    <row r="80" spans="16:18" x14ac:dyDescent="0.3">
      <c r="R80" s="38" t="s">
        <v>236</v>
      </c>
    </row>
    <row r="81" spans="18:18" x14ac:dyDescent="0.3">
      <c r="R81" s="38" t="s">
        <v>237</v>
      </c>
    </row>
    <row r="82" spans="18:18" x14ac:dyDescent="0.3">
      <c r="R82" s="38" t="s">
        <v>238</v>
      </c>
    </row>
    <row r="83" spans="18:18" x14ac:dyDescent="0.3">
      <c r="R83" s="38" t="s">
        <v>239</v>
      </c>
    </row>
    <row r="84" spans="18:18" x14ac:dyDescent="0.3">
      <c r="R84" s="38" t="s">
        <v>240</v>
      </c>
    </row>
    <row r="85" spans="18:18" x14ac:dyDescent="0.3">
      <c r="R85" s="38" t="s">
        <v>241</v>
      </c>
    </row>
    <row r="86" spans="18:18" x14ac:dyDescent="0.3">
      <c r="R86" s="38" t="s">
        <v>242</v>
      </c>
    </row>
    <row r="87" spans="18:18" x14ac:dyDescent="0.3">
      <c r="R87" s="38" t="s">
        <v>243</v>
      </c>
    </row>
    <row r="88" spans="18:18" x14ac:dyDescent="0.3">
      <c r="R88" s="38" t="s">
        <v>244</v>
      </c>
    </row>
    <row r="89" spans="18:18" x14ac:dyDescent="0.3">
      <c r="R89" s="38" t="s">
        <v>245</v>
      </c>
    </row>
    <row r="90" spans="18:18" x14ac:dyDescent="0.3">
      <c r="R90" s="38" t="s">
        <v>246</v>
      </c>
    </row>
    <row r="91" spans="18:18" x14ac:dyDescent="0.3">
      <c r="R91" s="38" t="s">
        <v>247</v>
      </c>
    </row>
    <row r="92" spans="18:18" x14ac:dyDescent="0.3">
      <c r="R92" s="38" t="s">
        <v>248</v>
      </c>
    </row>
    <row r="93" spans="18:18" x14ac:dyDescent="0.3">
      <c r="R93" s="38" t="s">
        <v>249</v>
      </c>
    </row>
    <row r="94" spans="18:18" x14ac:dyDescent="0.3">
      <c r="R94" s="38" t="s">
        <v>250</v>
      </c>
    </row>
    <row r="95" spans="18:18" x14ac:dyDescent="0.3">
      <c r="R95" s="38" t="s">
        <v>251</v>
      </c>
    </row>
    <row r="96" spans="18:18" x14ac:dyDescent="0.3">
      <c r="R96" s="38" t="s">
        <v>252</v>
      </c>
    </row>
    <row r="97" spans="18:18" x14ac:dyDescent="0.3">
      <c r="R97" s="38" t="s">
        <v>253</v>
      </c>
    </row>
    <row r="98" spans="18:18" x14ac:dyDescent="0.3">
      <c r="R98" s="38" t="s">
        <v>254</v>
      </c>
    </row>
    <row r="99" spans="18:18" x14ac:dyDescent="0.3">
      <c r="R99" s="38" t="s">
        <v>255</v>
      </c>
    </row>
    <row r="100" spans="18:18" x14ac:dyDescent="0.3">
      <c r="R100" s="38" t="s">
        <v>256</v>
      </c>
    </row>
    <row r="101" spans="18:18" x14ac:dyDescent="0.3">
      <c r="R101" s="38" t="s">
        <v>257</v>
      </c>
    </row>
    <row r="102" spans="18:18" x14ac:dyDescent="0.3">
      <c r="R102" s="38" t="s">
        <v>258</v>
      </c>
    </row>
    <row r="103" spans="18:18" x14ac:dyDescent="0.3">
      <c r="R103" s="38" t="s">
        <v>259</v>
      </c>
    </row>
    <row r="104" spans="18:18" x14ac:dyDescent="0.3">
      <c r="R104" s="38" t="s">
        <v>260</v>
      </c>
    </row>
    <row r="105" spans="18:18" x14ac:dyDescent="0.3">
      <c r="R105" s="38" t="s">
        <v>261</v>
      </c>
    </row>
    <row r="106" spans="18:18" x14ac:dyDescent="0.3">
      <c r="R106" s="38" t="s">
        <v>262</v>
      </c>
    </row>
    <row r="107" spans="18:18" x14ac:dyDescent="0.3">
      <c r="R107" s="38" t="s">
        <v>263</v>
      </c>
    </row>
    <row r="108" spans="18:18" x14ac:dyDescent="0.3">
      <c r="R108" s="38" t="s">
        <v>264</v>
      </c>
    </row>
    <row r="109" spans="18:18" x14ac:dyDescent="0.3">
      <c r="R109" s="38" t="s">
        <v>265</v>
      </c>
    </row>
    <row r="110" spans="18:18" x14ac:dyDescent="0.3">
      <c r="R110" s="38" t="s">
        <v>266</v>
      </c>
    </row>
    <row r="111" spans="18:18" x14ac:dyDescent="0.3">
      <c r="R111" s="38" t="s">
        <v>267</v>
      </c>
    </row>
    <row r="112" spans="18:18" x14ac:dyDescent="0.3">
      <c r="R112" s="38" t="s">
        <v>268</v>
      </c>
    </row>
    <row r="113" spans="18:18" x14ac:dyDescent="0.3">
      <c r="R113" s="38" t="s">
        <v>269</v>
      </c>
    </row>
    <row r="114" spans="18:18" x14ac:dyDescent="0.3">
      <c r="R114" s="38" t="s">
        <v>270</v>
      </c>
    </row>
    <row r="115" spans="18:18" x14ac:dyDescent="0.3">
      <c r="R115" s="38" t="s">
        <v>271</v>
      </c>
    </row>
    <row r="116" spans="18:18" x14ac:dyDescent="0.3">
      <c r="R116" s="38" t="s">
        <v>272</v>
      </c>
    </row>
    <row r="117" spans="18:18" x14ac:dyDescent="0.3">
      <c r="R117" s="38" t="s">
        <v>273</v>
      </c>
    </row>
    <row r="118" spans="18:18" x14ac:dyDescent="0.3">
      <c r="R118" s="38" t="s">
        <v>274</v>
      </c>
    </row>
    <row r="119" spans="18:18" x14ac:dyDescent="0.3">
      <c r="R119" s="38" t="s">
        <v>275</v>
      </c>
    </row>
    <row r="120" spans="18:18" x14ac:dyDescent="0.3">
      <c r="R120" s="38" t="s">
        <v>276</v>
      </c>
    </row>
    <row r="121" spans="18:18" x14ac:dyDescent="0.3">
      <c r="R121" s="38" t="s">
        <v>277</v>
      </c>
    </row>
    <row r="122" spans="18:18" x14ac:dyDescent="0.3">
      <c r="R122" s="38" t="s">
        <v>278</v>
      </c>
    </row>
    <row r="123" spans="18:18" x14ac:dyDescent="0.3">
      <c r="R123" s="38" t="s">
        <v>279</v>
      </c>
    </row>
    <row r="124" spans="18:18" x14ac:dyDescent="0.3">
      <c r="R124" s="38" t="s">
        <v>280</v>
      </c>
    </row>
    <row r="125" spans="18:18" x14ac:dyDescent="0.3">
      <c r="R125" s="38" t="s">
        <v>281</v>
      </c>
    </row>
    <row r="126" spans="18:18" x14ac:dyDescent="0.3">
      <c r="R126" s="38" t="s">
        <v>282</v>
      </c>
    </row>
    <row r="127" spans="18:18" x14ac:dyDescent="0.3">
      <c r="R127" s="38" t="s">
        <v>283</v>
      </c>
    </row>
    <row r="128" spans="18:18" x14ac:dyDescent="0.3">
      <c r="R128" s="38" t="s">
        <v>284</v>
      </c>
    </row>
    <row r="129" spans="18:18" x14ac:dyDescent="0.3">
      <c r="R129" s="38" t="s">
        <v>285</v>
      </c>
    </row>
    <row r="130" spans="18:18" x14ac:dyDescent="0.3">
      <c r="R130" s="38" t="s">
        <v>286</v>
      </c>
    </row>
    <row r="131" spans="18:18" x14ac:dyDescent="0.3">
      <c r="R131" s="38" t="s">
        <v>287</v>
      </c>
    </row>
    <row r="132" spans="18:18" x14ac:dyDescent="0.3">
      <c r="R132" s="38" t="s">
        <v>288</v>
      </c>
    </row>
    <row r="133" spans="18:18" x14ac:dyDescent="0.3">
      <c r="R133" s="38" t="s">
        <v>289</v>
      </c>
    </row>
    <row r="134" spans="18:18" x14ac:dyDescent="0.3">
      <c r="R134" s="38" t="s">
        <v>290</v>
      </c>
    </row>
    <row r="135" spans="18:18" x14ac:dyDescent="0.3">
      <c r="R135" s="38" t="s">
        <v>291</v>
      </c>
    </row>
    <row r="136" spans="18:18" x14ac:dyDescent="0.3">
      <c r="R136" s="38" t="s">
        <v>292</v>
      </c>
    </row>
    <row r="137" spans="18:18" x14ac:dyDescent="0.3">
      <c r="R137" t="s">
        <v>293</v>
      </c>
    </row>
    <row r="138" spans="18:18" x14ac:dyDescent="0.3">
      <c r="R138" s="38" t="s">
        <v>294</v>
      </c>
    </row>
    <row r="139" spans="18:18" x14ac:dyDescent="0.3">
      <c r="R139" s="38" t="s">
        <v>295</v>
      </c>
    </row>
    <row r="140" spans="18:18" x14ac:dyDescent="0.3">
      <c r="R140" s="38" t="s">
        <v>296</v>
      </c>
    </row>
    <row r="141" spans="18:18" x14ac:dyDescent="0.3">
      <c r="R141" s="38" t="s">
        <v>297</v>
      </c>
    </row>
    <row r="142" spans="18:18" x14ac:dyDescent="0.3">
      <c r="R142" s="38" t="s">
        <v>298</v>
      </c>
    </row>
    <row r="143" spans="18:18" x14ac:dyDescent="0.3">
      <c r="R143" s="38" t="s">
        <v>299</v>
      </c>
    </row>
    <row r="144" spans="18:18" x14ac:dyDescent="0.3">
      <c r="R144" s="38" t="s">
        <v>300</v>
      </c>
    </row>
    <row r="145" spans="18:18" x14ac:dyDescent="0.3">
      <c r="R145" s="38" t="s">
        <v>301</v>
      </c>
    </row>
    <row r="146" spans="18:18" x14ac:dyDescent="0.3">
      <c r="R146" s="38" t="s">
        <v>302</v>
      </c>
    </row>
    <row r="147" spans="18:18" x14ac:dyDescent="0.3">
      <c r="R147" s="38" t="s">
        <v>303</v>
      </c>
    </row>
    <row r="148" spans="18:18" x14ac:dyDescent="0.3">
      <c r="R148" t="s">
        <v>304</v>
      </c>
    </row>
    <row r="149" spans="18:18" x14ac:dyDescent="0.3">
      <c r="R149" s="38" t="s">
        <v>305</v>
      </c>
    </row>
    <row r="150" spans="18:18" x14ac:dyDescent="0.3">
      <c r="R150" s="38" t="s">
        <v>306</v>
      </c>
    </row>
    <row r="151" spans="18:18" x14ac:dyDescent="0.3">
      <c r="R151" s="38" t="s">
        <v>307</v>
      </c>
    </row>
    <row r="152" spans="18:18" x14ac:dyDescent="0.3">
      <c r="R152" s="38" t="s">
        <v>308</v>
      </c>
    </row>
    <row r="153" spans="18:18" x14ac:dyDescent="0.3">
      <c r="R153" s="38" t="s">
        <v>309</v>
      </c>
    </row>
    <row r="154" spans="18:18" x14ac:dyDescent="0.3">
      <c r="R154" t="s">
        <v>310</v>
      </c>
    </row>
    <row r="155" spans="18:18" x14ac:dyDescent="0.3">
      <c r="R155" s="38" t="s">
        <v>311</v>
      </c>
    </row>
    <row r="156" spans="18:18" x14ac:dyDescent="0.3">
      <c r="R156" s="38" t="s">
        <v>312</v>
      </c>
    </row>
    <row r="157" spans="18:18" x14ac:dyDescent="0.3">
      <c r="R157" s="38" t="s">
        <v>313</v>
      </c>
    </row>
    <row r="158" spans="18:18" x14ac:dyDescent="0.3">
      <c r="R158" s="38" t="s">
        <v>314</v>
      </c>
    </row>
    <row r="159" spans="18:18" x14ac:dyDescent="0.3">
      <c r="R159" s="38" t="s">
        <v>315</v>
      </c>
    </row>
    <row r="160" spans="18:18" x14ac:dyDescent="0.3">
      <c r="R160" s="38" t="s">
        <v>316</v>
      </c>
    </row>
    <row r="161" spans="18:18" x14ac:dyDescent="0.3">
      <c r="R161" s="38" t="s">
        <v>317</v>
      </c>
    </row>
    <row r="162" spans="18:18" x14ac:dyDescent="0.3">
      <c r="R162" s="38" t="s">
        <v>318</v>
      </c>
    </row>
    <row r="163" spans="18:18" x14ac:dyDescent="0.3">
      <c r="R163" s="38" t="s">
        <v>319</v>
      </c>
    </row>
    <row r="164" spans="18:18" x14ac:dyDescent="0.3">
      <c r="R164" s="38" t="s">
        <v>320</v>
      </c>
    </row>
    <row r="165" spans="18:18" x14ac:dyDescent="0.3">
      <c r="R165" s="38" t="s">
        <v>321</v>
      </c>
    </row>
    <row r="166" spans="18:18" x14ac:dyDescent="0.3">
      <c r="R166" s="38" t="s">
        <v>322</v>
      </c>
    </row>
    <row r="167" spans="18:18" x14ac:dyDescent="0.3">
      <c r="R167" s="38" t="s">
        <v>323</v>
      </c>
    </row>
    <row r="168" spans="18:18" x14ac:dyDescent="0.3">
      <c r="R168" s="38" t="s">
        <v>324</v>
      </c>
    </row>
    <row r="169" spans="18:18" x14ac:dyDescent="0.3">
      <c r="R169" s="38" t="s">
        <v>325</v>
      </c>
    </row>
    <row r="170" spans="18:18" x14ac:dyDescent="0.3">
      <c r="R170" s="38" t="s">
        <v>326</v>
      </c>
    </row>
    <row r="171" spans="18:18" x14ac:dyDescent="0.3">
      <c r="R171" s="38" t="s">
        <v>327</v>
      </c>
    </row>
    <row r="172" spans="18:18" x14ac:dyDescent="0.3">
      <c r="R172" s="38" t="s">
        <v>328</v>
      </c>
    </row>
    <row r="173" spans="18:18" x14ac:dyDescent="0.3">
      <c r="R173" t="s">
        <v>329</v>
      </c>
    </row>
    <row r="174" spans="18:18" x14ac:dyDescent="0.3">
      <c r="R174" s="38" t="s">
        <v>330</v>
      </c>
    </row>
    <row r="175" spans="18:18" x14ac:dyDescent="0.3">
      <c r="R175" t="s">
        <v>331</v>
      </c>
    </row>
    <row r="176" spans="18:18" x14ac:dyDescent="0.3">
      <c r="R176" s="38" t="s">
        <v>332</v>
      </c>
    </row>
    <row r="177" spans="18:18" x14ac:dyDescent="0.3">
      <c r="R177" s="38" t="s">
        <v>333</v>
      </c>
    </row>
    <row r="178" spans="18:18" x14ac:dyDescent="0.3">
      <c r="R178" s="38" t="s">
        <v>334</v>
      </c>
    </row>
    <row r="179" spans="18:18" x14ac:dyDescent="0.3">
      <c r="R179" t="s">
        <v>335</v>
      </c>
    </row>
    <row r="180" spans="18:18" x14ac:dyDescent="0.3">
      <c r="R180" s="38" t="s">
        <v>336</v>
      </c>
    </row>
    <row r="181" spans="18:18" x14ac:dyDescent="0.3">
      <c r="R181" s="38" t="s">
        <v>337</v>
      </c>
    </row>
    <row r="182" spans="18:18" x14ac:dyDescent="0.3">
      <c r="R182" s="38" t="s">
        <v>338</v>
      </c>
    </row>
    <row r="183" spans="18:18" x14ac:dyDescent="0.3">
      <c r="R183" s="38" t="s">
        <v>339</v>
      </c>
    </row>
    <row r="184" spans="18:18" x14ac:dyDescent="0.3">
      <c r="R184" s="38" t="s">
        <v>340</v>
      </c>
    </row>
    <row r="185" spans="18:18" x14ac:dyDescent="0.3">
      <c r="R185" s="38" t="s">
        <v>341</v>
      </c>
    </row>
    <row r="186" spans="18:18" x14ac:dyDescent="0.3">
      <c r="R186" s="38" t="s">
        <v>342</v>
      </c>
    </row>
    <row r="187" spans="18:18" x14ac:dyDescent="0.3">
      <c r="R187" s="38" t="s">
        <v>343</v>
      </c>
    </row>
    <row r="188" spans="18:18" x14ac:dyDescent="0.3">
      <c r="R188" s="38" t="s">
        <v>344</v>
      </c>
    </row>
    <row r="189" spans="18:18" x14ac:dyDescent="0.3">
      <c r="R189" s="38" t="s">
        <v>345</v>
      </c>
    </row>
    <row r="190" spans="18:18" x14ac:dyDescent="0.3">
      <c r="R190" s="38" t="s">
        <v>346</v>
      </c>
    </row>
    <row r="191" spans="18:18" x14ac:dyDescent="0.3">
      <c r="R191" s="38" t="s">
        <v>347</v>
      </c>
    </row>
    <row r="192" spans="18:18" x14ac:dyDescent="0.3">
      <c r="R192" s="38" t="s">
        <v>348</v>
      </c>
    </row>
    <row r="193" spans="18:18" x14ac:dyDescent="0.3">
      <c r="R193" s="38" t="s">
        <v>349</v>
      </c>
    </row>
    <row r="194" spans="18:18" x14ac:dyDescent="0.3">
      <c r="R194" s="38" t="s">
        <v>350</v>
      </c>
    </row>
    <row r="195" spans="18:18" x14ac:dyDescent="0.3">
      <c r="R195" s="38" t="s">
        <v>351</v>
      </c>
    </row>
    <row r="196" spans="18:18" x14ac:dyDescent="0.3">
      <c r="R196" s="38" t="s">
        <v>352</v>
      </c>
    </row>
    <row r="197" spans="18:18" x14ac:dyDescent="0.3">
      <c r="R197" s="38" t="s">
        <v>353</v>
      </c>
    </row>
    <row r="198" spans="18:18" x14ac:dyDescent="0.3">
      <c r="R198" s="38" t="s">
        <v>354</v>
      </c>
    </row>
    <row r="199" spans="18:18" x14ac:dyDescent="0.3">
      <c r="R199" s="38" t="s">
        <v>355</v>
      </c>
    </row>
    <row r="200" spans="18:18" x14ac:dyDescent="0.3">
      <c r="R200" s="38" t="s">
        <v>356</v>
      </c>
    </row>
    <row r="201" spans="18:18" x14ac:dyDescent="0.3">
      <c r="R201" s="38" t="s">
        <v>357</v>
      </c>
    </row>
    <row r="202" spans="18:18" x14ac:dyDescent="0.3">
      <c r="R202" s="38" t="s">
        <v>358</v>
      </c>
    </row>
    <row r="203" spans="18:18" x14ac:dyDescent="0.3">
      <c r="R203" s="38" t="s">
        <v>359</v>
      </c>
    </row>
    <row r="204" spans="18:18" x14ac:dyDescent="0.3">
      <c r="R204" s="38" t="s">
        <v>360</v>
      </c>
    </row>
    <row r="205" spans="18:18" x14ac:dyDescent="0.3">
      <c r="R205" t="s">
        <v>361</v>
      </c>
    </row>
    <row r="206" spans="18:18" x14ac:dyDescent="0.3">
      <c r="R206" s="38" t="s">
        <v>362</v>
      </c>
    </row>
    <row r="207" spans="18:18" x14ac:dyDescent="0.3">
      <c r="R207" s="38" t="s">
        <v>363</v>
      </c>
    </row>
    <row r="208" spans="18:18" x14ac:dyDescent="0.3">
      <c r="R208" s="38" t="s">
        <v>364</v>
      </c>
    </row>
    <row r="209" spans="18:18" x14ac:dyDescent="0.3">
      <c r="R209" t="s">
        <v>365</v>
      </c>
    </row>
    <row r="210" spans="18:18" x14ac:dyDescent="0.3">
      <c r="R210" s="38" t="s">
        <v>366</v>
      </c>
    </row>
    <row r="211" spans="18:18" x14ac:dyDescent="0.3">
      <c r="R211" s="38" t="s">
        <v>367</v>
      </c>
    </row>
    <row r="212" spans="18:18" x14ac:dyDescent="0.3">
      <c r="R212" s="38" t="s">
        <v>368</v>
      </c>
    </row>
    <row r="213" spans="18:18" x14ac:dyDescent="0.3">
      <c r="R213" t="s">
        <v>369</v>
      </c>
    </row>
    <row r="214" spans="18:18" x14ac:dyDescent="0.3">
      <c r="R214" s="38" t="s">
        <v>370</v>
      </c>
    </row>
    <row r="215" spans="18:18" x14ac:dyDescent="0.3">
      <c r="R215" s="38" t="s">
        <v>371</v>
      </c>
    </row>
    <row r="216" spans="18:18" x14ac:dyDescent="0.3">
      <c r="R216" s="38" t="s">
        <v>372</v>
      </c>
    </row>
    <row r="217" spans="18:18" x14ac:dyDescent="0.3">
      <c r="R217" s="38" t="s">
        <v>373</v>
      </c>
    </row>
    <row r="218" spans="18:18" x14ac:dyDescent="0.3">
      <c r="R218" s="38" t="s">
        <v>374</v>
      </c>
    </row>
    <row r="219" spans="18:18" x14ac:dyDescent="0.3">
      <c r="R219" s="38" t="s">
        <v>375</v>
      </c>
    </row>
    <row r="220" spans="18:18" x14ac:dyDescent="0.3">
      <c r="R220" s="38" t="s">
        <v>376</v>
      </c>
    </row>
    <row r="221" spans="18:18" x14ac:dyDescent="0.3">
      <c r="R221" s="38" t="s">
        <v>377</v>
      </c>
    </row>
    <row r="222" spans="18:18" x14ac:dyDescent="0.3">
      <c r="R222" s="38" t="s">
        <v>378</v>
      </c>
    </row>
    <row r="223" spans="18:18" x14ac:dyDescent="0.3">
      <c r="R223" s="38" t="s">
        <v>379</v>
      </c>
    </row>
    <row r="224" spans="18:18" x14ac:dyDescent="0.3">
      <c r="R224" s="38" t="s">
        <v>380</v>
      </c>
    </row>
    <row r="225" spans="18:18" x14ac:dyDescent="0.3">
      <c r="R225" s="38" t="s">
        <v>381</v>
      </c>
    </row>
  </sheetData>
  <sheetProtection selectLockedCells="1"/>
  <mergeCells count="40">
    <mergeCell ref="H10:I10"/>
    <mergeCell ref="H11:I11"/>
    <mergeCell ref="C9:D9"/>
    <mergeCell ref="I8:J8"/>
    <mergeCell ref="I9:J9"/>
    <mergeCell ref="E9:F9"/>
    <mergeCell ref="F10:G10"/>
    <mergeCell ref="F11:G11"/>
    <mergeCell ref="C8:D8"/>
    <mergeCell ref="E8:F8"/>
    <mergeCell ref="C16:K16"/>
    <mergeCell ref="C17:E17"/>
    <mergeCell ref="C19:E19"/>
    <mergeCell ref="C20:E20"/>
    <mergeCell ref="C21:E21"/>
    <mergeCell ref="C18:E18"/>
    <mergeCell ref="F18:K18"/>
    <mergeCell ref="F20:K20"/>
    <mergeCell ref="F21:K21"/>
    <mergeCell ref="F23:K23"/>
    <mergeCell ref="B31:L31"/>
    <mergeCell ref="B24:K24"/>
    <mergeCell ref="C22:E22"/>
    <mergeCell ref="C23:E23"/>
    <mergeCell ref="B32:K32"/>
    <mergeCell ref="C4:E4"/>
    <mergeCell ref="C5:E5"/>
    <mergeCell ref="B2:L2"/>
    <mergeCell ref="C6:D6"/>
    <mergeCell ref="C7:D7"/>
    <mergeCell ref="B13:L13"/>
    <mergeCell ref="B15:K15"/>
    <mergeCell ref="B28:K28"/>
    <mergeCell ref="B27:K27"/>
    <mergeCell ref="B26:K26"/>
    <mergeCell ref="B25:K25"/>
    <mergeCell ref="B14:L14"/>
    <mergeCell ref="F22:K22"/>
    <mergeCell ref="F17:K17"/>
    <mergeCell ref="F19:K19"/>
  </mergeCells>
  <phoneticPr fontId="5" type="noConversion"/>
  <dataValidations count="4">
    <dataValidation type="list" allowBlank="1" showInputMessage="1" showErrorMessage="1" sqref="G5 F11 J11 I9" xr:uid="{00000000-0002-0000-0000-000000000000}">
      <formula1>$N$4:$N$5</formula1>
    </dataValidation>
    <dataValidation type="list" allowBlank="1" showInputMessage="1" showErrorMessage="1" sqref="H11:I11" xr:uid="{00000000-0002-0000-0000-000001000000}">
      <formula1>$N$6:$N$9</formula1>
    </dataValidation>
    <dataValidation type="list" allowBlank="1" showInputMessage="1" showErrorMessage="1" sqref="H7" xr:uid="{00000000-0002-0000-0000-000002000000}">
      <formula1>$R$2:$R$225</formula1>
    </dataValidation>
    <dataValidation type="list" allowBlank="1" showInputMessage="1" showErrorMessage="1" sqref="F7" xr:uid="{00000000-0002-0000-0000-000003000000}">
      <formula1>$P$2:$P$72</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E1B4-6073-B041-BAF8-1CD3981AD6A4}">
  <sheetPr codeName="Sheet8">
    <tabColor theme="8" tint="0.79998168889431442"/>
  </sheetPr>
  <dimension ref="B2:R45"/>
  <sheetViews>
    <sheetView topLeftCell="A29" zoomScaleNormal="100" workbookViewId="0">
      <selection activeCell="B38" sqref="B38"/>
    </sheetView>
  </sheetViews>
  <sheetFormatPr defaultColWidth="9.09765625" defaultRowHeight="15" x14ac:dyDescent="0.25"/>
  <cols>
    <col min="1" max="1" width="2.59765625" style="311" customWidth="1"/>
    <col min="2" max="2" width="21.09765625" style="311" bestFit="1" customWidth="1"/>
    <col min="3" max="3" width="19.3984375" style="311" bestFit="1" customWidth="1"/>
    <col min="4" max="4" width="6.09765625" style="311" bestFit="1" customWidth="1"/>
    <col min="5" max="5" width="20.5" style="311" customWidth="1"/>
    <col min="6" max="6" width="14.3984375" style="311" customWidth="1"/>
    <col min="7" max="7" width="6" style="311" bestFit="1" customWidth="1"/>
    <col min="8" max="8" width="14.09765625" style="311" customWidth="1"/>
    <col min="9" max="9" width="5.3984375" style="311" bestFit="1" customWidth="1"/>
    <col min="10" max="10" width="4.09765625" style="311" bestFit="1" customWidth="1"/>
    <col min="11" max="11" width="7.3984375" style="311" bestFit="1" customWidth="1"/>
    <col min="12" max="12" width="8.8984375" style="311" customWidth="1"/>
    <col min="13" max="13" width="17.5" style="311" bestFit="1" customWidth="1"/>
    <col min="14" max="14" width="13.09765625" style="311" bestFit="1" customWidth="1"/>
    <col min="15" max="15" width="10.59765625" style="311" bestFit="1" customWidth="1"/>
    <col min="16" max="16384" width="9.09765625" style="311"/>
  </cols>
  <sheetData>
    <row r="2" spans="2:13" ht="15.6" thickBot="1" x14ac:dyDescent="0.3"/>
    <row r="3" spans="2:13" ht="55.5" customHeight="1" thickBot="1" x14ac:dyDescent="0.3">
      <c r="B3" s="312" t="s">
        <v>498</v>
      </c>
      <c r="C3" s="1705" t="s">
        <v>499</v>
      </c>
      <c r="D3" s="1705"/>
      <c r="E3" s="1705"/>
      <c r="F3" s="1705"/>
      <c r="G3" s="1705"/>
      <c r="H3" s="1706"/>
      <c r="I3" s="313"/>
      <c r="J3" s="313"/>
      <c r="K3" s="313"/>
      <c r="L3" s="313"/>
      <c r="M3" s="313"/>
    </row>
    <row r="4" spans="2:13" ht="15.6" thickBot="1" x14ac:dyDescent="0.3"/>
    <row r="5" spans="2:13" ht="16.5" customHeight="1" thickBot="1" x14ac:dyDescent="0.35">
      <c r="B5" s="1707" t="s">
        <v>500</v>
      </c>
      <c r="C5" s="1708"/>
      <c r="D5" s="1708"/>
      <c r="E5" s="1708"/>
      <c r="F5" s="1708"/>
      <c r="G5" s="1708"/>
      <c r="H5" s="1709"/>
    </row>
    <row r="6" spans="2:13" ht="30" customHeight="1" x14ac:dyDescent="0.25">
      <c r="B6" s="314" t="s">
        <v>501</v>
      </c>
      <c r="C6" s="1691"/>
      <c r="D6" s="1691"/>
      <c r="E6" s="315"/>
      <c r="F6" s="316" t="s">
        <v>502</v>
      </c>
      <c r="G6" s="1710"/>
      <c r="H6" s="1711"/>
    </row>
    <row r="7" spans="2:13" ht="30" customHeight="1" x14ac:dyDescent="0.25">
      <c r="B7" s="314" t="s">
        <v>503</v>
      </c>
      <c r="C7" s="1699"/>
      <c r="D7" s="1699"/>
      <c r="E7" s="316" t="s">
        <v>504</v>
      </c>
      <c r="F7" s="317"/>
      <c r="G7" s="316" t="s">
        <v>505</v>
      </c>
      <c r="H7" s="318"/>
    </row>
    <row r="8" spans="2:13" ht="5.25" customHeight="1" thickBot="1" x14ac:dyDescent="0.3">
      <c r="B8" s="319"/>
      <c r="C8" s="316"/>
      <c r="D8" s="316"/>
      <c r="E8" s="316"/>
      <c r="F8" s="316"/>
      <c r="G8" s="316"/>
      <c r="H8" s="320"/>
    </row>
    <row r="9" spans="2:13" ht="30" customHeight="1" x14ac:dyDescent="0.25">
      <c r="B9" s="321" t="s">
        <v>506</v>
      </c>
      <c r="C9" s="1687"/>
      <c r="D9" s="1687"/>
      <c r="E9" s="322" t="s">
        <v>507</v>
      </c>
      <c r="F9" s="1687"/>
      <c r="G9" s="1687"/>
      <c r="H9" s="323"/>
    </row>
    <row r="10" spans="2:13" ht="30" customHeight="1" x14ac:dyDescent="0.25">
      <c r="B10" s="1689" t="s">
        <v>508</v>
      </c>
      <c r="C10" s="1690"/>
      <c r="D10" s="1691"/>
      <c r="E10" s="1691"/>
      <c r="F10" s="1691"/>
      <c r="G10" s="1691"/>
      <c r="H10" s="324"/>
    </row>
    <row r="11" spans="2:13" ht="30" customHeight="1" x14ac:dyDescent="0.25">
      <c r="B11" s="325" t="s">
        <v>509</v>
      </c>
      <c r="C11" s="1691"/>
      <c r="D11" s="1691"/>
      <c r="E11" s="316" t="s">
        <v>510</v>
      </c>
      <c r="F11" s="1691"/>
      <c r="G11" s="1691"/>
      <c r="H11" s="324"/>
    </row>
    <row r="12" spans="2:13" ht="30" customHeight="1" x14ac:dyDescent="0.25">
      <c r="B12" s="325" t="s">
        <v>511</v>
      </c>
      <c r="C12" s="1701"/>
      <c r="D12" s="1699"/>
      <c r="E12" s="316" t="s">
        <v>512</v>
      </c>
      <c r="F12" s="1699"/>
      <c r="G12" s="1699"/>
      <c r="H12" s="324"/>
      <c r="K12" s="326"/>
    </row>
    <row r="13" spans="2:13" ht="30" customHeight="1" x14ac:dyDescent="0.25">
      <c r="B13" s="325" t="s">
        <v>513</v>
      </c>
      <c r="C13" s="1699"/>
      <c r="D13" s="1699"/>
      <c r="E13" s="316" t="s">
        <v>514</v>
      </c>
      <c r="F13" s="1699"/>
      <c r="G13" s="1699"/>
      <c r="H13" s="324"/>
      <c r="K13" s="326"/>
    </row>
    <row r="14" spans="2:13" ht="5.25" customHeight="1" thickBot="1" x14ac:dyDescent="0.3">
      <c r="B14" s="327"/>
      <c r="C14" s="328"/>
      <c r="D14" s="328"/>
      <c r="E14" s="328"/>
      <c r="F14" s="328"/>
      <c r="G14" s="328"/>
      <c r="H14" s="329"/>
    </row>
    <row r="15" spans="2:13" ht="15.6" thickBot="1" x14ac:dyDescent="0.3">
      <c r="C15" s="330"/>
      <c r="D15" s="330"/>
      <c r="E15" s="330"/>
      <c r="F15" s="330"/>
      <c r="G15" s="330"/>
      <c r="H15" s="331"/>
    </row>
    <row r="16" spans="2:13" ht="16.5" customHeight="1" thickBot="1" x14ac:dyDescent="0.35">
      <c r="B16" s="1702" t="s">
        <v>515</v>
      </c>
      <c r="C16" s="1703"/>
      <c r="D16" s="1703"/>
      <c r="E16" s="1703"/>
      <c r="F16" s="1703"/>
      <c r="G16" s="1703"/>
      <c r="H16" s="1704"/>
    </row>
    <row r="17" spans="2:10" ht="30" customHeight="1" x14ac:dyDescent="0.25">
      <c r="B17" s="332" t="s">
        <v>516</v>
      </c>
      <c r="C17" s="1687"/>
      <c r="D17" s="1687"/>
      <c r="E17" s="322" t="s">
        <v>517</v>
      </c>
      <c r="F17" s="1687"/>
      <c r="G17" s="1687"/>
      <c r="H17" s="1688"/>
    </row>
    <row r="18" spans="2:10" ht="5.25" customHeight="1" thickBot="1" x14ac:dyDescent="0.3">
      <c r="B18" s="333"/>
      <c r="C18" s="334"/>
      <c r="D18" s="328"/>
      <c r="E18" s="328"/>
      <c r="F18" s="335"/>
      <c r="G18" s="335"/>
      <c r="H18" s="336"/>
    </row>
    <row r="19" spans="2:10" ht="30" customHeight="1" x14ac:dyDescent="0.25">
      <c r="B19" s="332" t="s">
        <v>518</v>
      </c>
      <c r="C19" s="1687"/>
      <c r="D19" s="1687"/>
      <c r="E19" s="322" t="s">
        <v>519</v>
      </c>
      <c r="F19" s="1687"/>
      <c r="G19" s="1687"/>
      <c r="H19" s="1688"/>
    </row>
    <row r="20" spans="2:10" ht="5.25" customHeight="1" thickBot="1" x14ac:dyDescent="0.3">
      <c r="B20" s="327"/>
      <c r="C20" s="328"/>
      <c r="D20" s="328"/>
      <c r="E20" s="328"/>
      <c r="F20" s="328"/>
      <c r="G20" s="328"/>
      <c r="H20" s="329"/>
    </row>
    <row r="21" spans="2:10" ht="15.6" thickBot="1" x14ac:dyDescent="0.3"/>
    <row r="22" spans="2:10" ht="16.5" customHeight="1" thickBot="1" x14ac:dyDescent="0.35">
      <c r="B22" s="1696" t="s">
        <v>520</v>
      </c>
      <c r="C22" s="1697"/>
      <c r="D22" s="1697"/>
      <c r="E22" s="1697"/>
      <c r="F22" s="1697"/>
      <c r="G22" s="1697"/>
      <c r="H22" s="1698"/>
    </row>
    <row r="23" spans="2:10" ht="30" customHeight="1" x14ac:dyDescent="0.25">
      <c r="B23" s="321" t="s">
        <v>521</v>
      </c>
      <c r="C23" s="1687"/>
      <c r="D23" s="1687"/>
      <c r="E23" s="1687"/>
      <c r="F23" s="1687"/>
      <c r="G23" s="1687"/>
      <c r="H23" s="1688"/>
    </row>
    <row r="24" spans="2:10" ht="30" customHeight="1" x14ac:dyDescent="0.25">
      <c r="B24" s="325" t="s">
        <v>522</v>
      </c>
      <c r="C24" s="1699"/>
      <c r="D24" s="1699"/>
      <c r="E24" s="1699"/>
      <c r="F24" s="1699"/>
      <c r="G24" s="1699"/>
      <c r="H24" s="1700"/>
    </row>
    <row r="25" spans="2:10" ht="5.25" customHeight="1" thickBot="1" x14ac:dyDescent="0.3">
      <c r="B25" s="327"/>
      <c r="C25" s="328"/>
      <c r="D25" s="328"/>
      <c r="E25" s="328"/>
      <c r="F25" s="328"/>
      <c r="G25" s="328"/>
      <c r="H25" s="329"/>
    </row>
    <row r="26" spans="2:10" ht="16.2" thickBot="1" x14ac:dyDescent="0.35">
      <c r="C26" s="337"/>
      <c r="D26" s="337"/>
      <c r="E26" s="337"/>
      <c r="F26" s="337"/>
      <c r="G26" s="337"/>
      <c r="H26" s="337"/>
    </row>
    <row r="27" spans="2:10" ht="16.5" customHeight="1" thickBot="1" x14ac:dyDescent="0.35">
      <c r="B27" s="1696" t="s">
        <v>523</v>
      </c>
      <c r="C27" s="1697"/>
      <c r="D27" s="1697"/>
      <c r="E27" s="1697"/>
      <c r="F27" s="1697"/>
      <c r="G27" s="1697"/>
      <c r="H27" s="1698"/>
      <c r="J27" s="338"/>
    </row>
    <row r="28" spans="2:10" ht="30" customHeight="1" x14ac:dyDescent="0.25">
      <c r="B28" s="1685" t="s">
        <v>524</v>
      </c>
      <c r="C28" s="1686"/>
      <c r="D28" s="1687"/>
      <c r="E28" s="1687"/>
      <c r="F28" s="1687"/>
      <c r="G28" s="1687"/>
      <c r="H28" s="1688"/>
      <c r="J28" s="338"/>
    </row>
    <row r="29" spans="2:10" ht="30" customHeight="1" x14ac:dyDescent="0.25">
      <c r="B29" s="1689" t="s">
        <v>525</v>
      </c>
      <c r="C29" s="1690"/>
      <c r="D29" s="1691"/>
      <c r="E29" s="1691"/>
      <c r="F29" s="1691"/>
      <c r="G29" s="1691"/>
      <c r="H29" s="1692"/>
      <c r="J29" s="326"/>
    </row>
    <row r="30" spans="2:10" ht="5.25" customHeight="1" thickBot="1" x14ac:dyDescent="0.3">
      <c r="B30" s="339"/>
      <c r="C30" s="328"/>
      <c r="D30" s="328"/>
      <c r="E30" s="328"/>
      <c r="F30" s="328"/>
      <c r="G30" s="328"/>
      <c r="H30" s="329"/>
    </row>
    <row r="31" spans="2:10" ht="30" customHeight="1" x14ac:dyDescent="0.25">
      <c r="B31" s="1694" t="s">
        <v>526</v>
      </c>
      <c r="C31" s="1695"/>
      <c r="D31" s="1691"/>
      <c r="E31" s="1691"/>
      <c r="F31" s="1691"/>
      <c r="G31" s="1691"/>
      <c r="H31" s="1692"/>
    </row>
    <row r="32" spans="2:10" ht="30" customHeight="1" x14ac:dyDescent="0.25">
      <c r="B32" s="1694" t="s">
        <v>527</v>
      </c>
      <c r="C32" s="1695"/>
      <c r="D32" s="1691"/>
      <c r="E32" s="1691"/>
      <c r="F32" s="1691"/>
      <c r="G32" s="1691"/>
      <c r="H32" s="1692"/>
    </row>
    <row r="33" spans="2:18" ht="5.25" customHeight="1" thickBot="1" x14ac:dyDescent="0.3">
      <c r="B33" s="327"/>
      <c r="C33" s="328"/>
      <c r="D33" s="328"/>
      <c r="E33" s="328"/>
      <c r="F33" s="328"/>
      <c r="G33" s="328"/>
      <c r="H33" s="329"/>
    </row>
    <row r="34" spans="2:18" ht="30" customHeight="1" x14ac:dyDescent="0.25">
      <c r="B34" s="1685" t="s">
        <v>528</v>
      </c>
      <c r="C34" s="1686"/>
      <c r="D34" s="1687"/>
      <c r="E34" s="1687"/>
      <c r="F34" s="1687"/>
      <c r="G34" s="1687"/>
      <c r="H34" s="1688"/>
    </row>
    <row r="35" spans="2:18" ht="30" customHeight="1" x14ac:dyDescent="0.25">
      <c r="B35" s="1689" t="s">
        <v>529</v>
      </c>
      <c r="C35" s="1690"/>
      <c r="D35" s="1691"/>
      <c r="E35" s="1691"/>
      <c r="F35" s="1691"/>
      <c r="G35" s="1691"/>
      <c r="H35" s="1692"/>
      <c r="I35" s="340"/>
      <c r="J35" s="340"/>
      <c r="K35" s="340"/>
      <c r="L35" s="340"/>
      <c r="M35" s="340"/>
      <c r="N35" s="340"/>
      <c r="O35" s="340"/>
      <c r="P35" s="340"/>
      <c r="Q35" s="340"/>
      <c r="R35" s="340"/>
    </row>
    <row r="36" spans="2:18" ht="5.25" customHeight="1" thickBot="1" x14ac:dyDescent="0.3">
      <c r="B36" s="339"/>
      <c r="C36" s="328"/>
      <c r="D36" s="328"/>
      <c r="E36" s="328"/>
      <c r="F36" s="328"/>
      <c r="G36" s="328"/>
      <c r="H36" s="329"/>
      <c r="I36" s="340"/>
      <c r="J36" s="340"/>
      <c r="K36" s="340"/>
      <c r="L36" s="340"/>
      <c r="M36" s="340"/>
      <c r="N36" s="340"/>
      <c r="O36" s="340"/>
      <c r="P36" s="340"/>
      <c r="Q36" s="340"/>
      <c r="R36" s="340"/>
    </row>
    <row r="37" spans="2:18" ht="16.5" customHeight="1" x14ac:dyDescent="0.3">
      <c r="B37" s="1693"/>
      <c r="C37" s="1693"/>
      <c r="D37" s="1693"/>
      <c r="E37" s="1693"/>
      <c r="F37" s="1693"/>
      <c r="G37" s="1693"/>
      <c r="H37" s="1693"/>
      <c r="I37" s="1693"/>
      <c r="J37" s="1693"/>
      <c r="K37" s="1693"/>
      <c r="L37" s="1693"/>
      <c r="M37" s="1693"/>
      <c r="N37" s="1693"/>
      <c r="O37" s="1693"/>
      <c r="P37" s="340"/>
      <c r="Q37" s="340"/>
      <c r="R37" s="340"/>
    </row>
    <row r="38" spans="2:18" x14ac:dyDescent="0.25">
      <c r="B38" s="340"/>
      <c r="C38" s="340"/>
      <c r="D38" s="340"/>
      <c r="E38" s="340"/>
      <c r="F38" s="340"/>
      <c r="G38" s="340"/>
      <c r="H38" s="340"/>
      <c r="I38" s="340"/>
      <c r="J38" s="340"/>
      <c r="K38" s="340"/>
      <c r="L38" s="340"/>
      <c r="M38" s="340"/>
      <c r="N38" s="340"/>
      <c r="O38" s="340"/>
      <c r="P38" s="340"/>
      <c r="Q38" s="340"/>
      <c r="R38" s="340"/>
    </row>
    <row r="39" spans="2:18" x14ac:dyDescent="0.25">
      <c r="B39" s="340"/>
      <c r="C39" s="340"/>
      <c r="D39" s="340"/>
      <c r="E39" s="340"/>
      <c r="F39" s="340"/>
      <c r="G39" s="340"/>
      <c r="H39" s="340"/>
      <c r="I39" s="340"/>
      <c r="J39" s="340"/>
      <c r="K39" s="340"/>
      <c r="L39" s="340"/>
      <c r="M39" s="340"/>
      <c r="N39" s="340"/>
      <c r="O39" s="340"/>
      <c r="P39" s="340"/>
      <c r="Q39" s="340"/>
      <c r="R39" s="340"/>
    </row>
    <row r="40" spans="2:18" x14ac:dyDescent="0.25">
      <c r="B40" s="340"/>
      <c r="C40" s="340"/>
      <c r="D40" s="340"/>
      <c r="E40" s="340"/>
      <c r="F40" s="340"/>
      <c r="G40" s="340"/>
      <c r="H40" s="340"/>
      <c r="I40" s="340"/>
      <c r="J40" s="340"/>
      <c r="K40" s="340"/>
      <c r="L40" s="340"/>
      <c r="M40" s="340"/>
      <c r="N40" s="340"/>
      <c r="O40" s="340"/>
      <c r="P40" s="340"/>
      <c r="Q40" s="340"/>
      <c r="R40" s="340"/>
    </row>
    <row r="41" spans="2:18" x14ac:dyDescent="0.25">
      <c r="B41" s="340"/>
      <c r="C41" s="340"/>
      <c r="D41" s="340"/>
      <c r="E41" s="340"/>
      <c r="F41" s="340"/>
      <c r="G41" s="340"/>
      <c r="H41" s="340"/>
      <c r="I41" s="340"/>
      <c r="J41" s="340"/>
      <c r="K41" s="340"/>
      <c r="L41" s="340"/>
      <c r="M41" s="340"/>
      <c r="N41" s="340"/>
      <c r="O41" s="340"/>
      <c r="P41" s="340"/>
      <c r="Q41" s="340"/>
      <c r="R41" s="340"/>
    </row>
    <row r="42" spans="2:18" x14ac:dyDescent="0.25">
      <c r="B42" s="340"/>
      <c r="C42" s="340"/>
      <c r="D42" s="340"/>
      <c r="E42" s="340"/>
      <c r="F42" s="340"/>
      <c r="G42" s="340"/>
      <c r="H42" s="340"/>
      <c r="I42" s="340"/>
      <c r="J42" s="340"/>
      <c r="K42" s="340"/>
      <c r="L42" s="340"/>
      <c r="M42" s="340"/>
      <c r="N42" s="340"/>
      <c r="O42" s="340"/>
      <c r="P42" s="340"/>
      <c r="Q42" s="340"/>
      <c r="R42" s="340"/>
    </row>
    <row r="43" spans="2:18" x14ac:dyDescent="0.25">
      <c r="B43" s="340"/>
      <c r="C43" s="340"/>
      <c r="D43" s="340"/>
      <c r="E43" s="340"/>
      <c r="F43" s="340"/>
      <c r="G43" s="340"/>
      <c r="H43" s="340"/>
      <c r="I43" s="340"/>
      <c r="J43" s="340"/>
      <c r="K43" s="340"/>
      <c r="L43" s="340"/>
      <c r="M43" s="340"/>
      <c r="N43" s="340"/>
      <c r="O43" s="340"/>
      <c r="P43" s="340"/>
      <c r="Q43" s="340"/>
      <c r="R43" s="340"/>
    </row>
    <row r="44" spans="2:18" x14ac:dyDescent="0.25">
      <c r="B44" s="340"/>
      <c r="C44" s="340"/>
      <c r="D44" s="340"/>
      <c r="E44" s="340"/>
      <c r="F44" s="340"/>
      <c r="G44" s="340"/>
      <c r="H44" s="340"/>
      <c r="I44" s="340"/>
      <c r="J44" s="340"/>
      <c r="K44" s="340"/>
      <c r="L44" s="340"/>
      <c r="M44" s="340"/>
      <c r="N44" s="340"/>
      <c r="O44" s="340"/>
      <c r="P44" s="340"/>
      <c r="Q44" s="340"/>
      <c r="R44" s="340"/>
    </row>
    <row r="45" spans="2:18" x14ac:dyDescent="0.25">
      <c r="B45" s="340"/>
      <c r="C45" s="340"/>
      <c r="D45" s="340"/>
      <c r="E45" s="340"/>
      <c r="F45" s="340"/>
      <c r="G45" s="340"/>
      <c r="H45" s="340"/>
      <c r="I45" s="340"/>
      <c r="J45" s="340"/>
      <c r="K45" s="340"/>
      <c r="L45" s="340"/>
      <c r="M45" s="340"/>
      <c r="N45" s="340"/>
      <c r="O45" s="340"/>
      <c r="P45" s="340"/>
      <c r="Q45" s="340"/>
      <c r="R45" s="340"/>
    </row>
  </sheetData>
  <sheetProtection algorithmName="SHA-512" hashValue="xPgqsxRvLXZpra/7Ex2cH0/kb6AZ+zQgoXp+EPPXbufg0dZqU85yBTrciVjJWN1KcgJw4KyXh+qgxfdNwzxtAg==" saltValue="/+fSyIjEcXf5/hq9zEjrIQ==" spinCount="100000" sheet="1" formatColumns="0" formatRows="0" insertColumns="0" insertRows="0"/>
  <mergeCells count="37">
    <mergeCell ref="C9:D9"/>
    <mergeCell ref="F9:G9"/>
    <mergeCell ref="C3:H3"/>
    <mergeCell ref="B5:H5"/>
    <mergeCell ref="C6:D6"/>
    <mergeCell ref="G6:H6"/>
    <mergeCell ref="C7:D7"/>
    <mergeCell ref="C19:D19"/>
    <mergeCell ref="F19:H19"/>
    <mergeCell ref="B10:C10"/>
    <mergeCell ref="D10:G10"/>
    <mergeCell ref="C11:D11"/>
    <mergeCell ref="F11:G11"/>
    <mergeCell ref="C12:D12"/>
    <mergeCell ref="F12:G12"/>
    <mergeCell ref="C13:D13"/>
    <mergeCell ref="F13:G13"/>
    <mergeCell ref="B16:H16"/>
    <mergeCell ref="C17:D17"/>
    <mergeCell ref="F17:H17"/>
    <mergeCell ref="B22:H22"/>
    <mergeCell ref="C23:H23"/>
    <mergeCell ref="C24:H24"/>
    <mergeCell ref="B27:H27"/>
    <mergeCell ref="B28:C28"/>
    <mergeCell ref="D28:H28"/>
    <mergeCell ref="B29:C29"/>
    <mergeCell ref="D29:H29"/>
    <mergeCell ref="B31:C31"/>
    <mergeCell ref="D31:H31"/>
    <mergeCell ref="B32:C32"/>
    <mergeCell ref="D32:H32"/>
    <mergeCell ref="B34:C34"/>
    <mergeCell ref="D34:H34"/>
    <mergeCell ref="B35:C35"/>
    <mergeCell ref="D35:H35"/>
    <mergeCell ref="B37:O37"/>
  </mergeCells>
  <dataValidations count="1">
    <dataValidation type="list" allowBlank="1" showInputMessage="1" showErrorMessage="1" sqref="C13" xr:uid="{11E3273F-082D-9145-9639-0B1D5BC7FF4F}">
      <formula1>"Affordable, Market Rate, Mixed"</formula1>
    </dataValidation>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1FA7-83E6-BD41-82A8-DE7D5912F3C0}">
  <sheetPr codeName="Sheet23">
    <tabColor theme="8" tint="0.79998168889431442"/>
    <pageSetUpPr fitToPage="1"/>
  </sheetPr>
  <dimension ref="A1:C213"/>
  <sheetViews>
    <sheetView workbookViewId="0">
      <selection activeCell="A6" sqref="A6:C6"/>
    </sheetView>
  </sheetViews>
  <sheetFormatPr defaultColWidth="9.09765625" defaultRowHeight="13.2" x14ac:dyDescent="0.25"/>
  <cols>
    <col min="1" max="1" width="79.09765625" style="345" customWidth="1"/>
    <col min="2" max="2" width="13" style="343" hidden="1" customWidth="1"/>
    <col min="3" max="3" width="44.09765625" style="345" customWidth="1"/>
    <col min="4" max="16384" width="9.09765625" style="343"/>
  </cols>
  <sheetData>
    <row r="1" spans="1:3" ht="91.65" customHeight="1" x14ac:dyDescent="0.4">
      <c r="A1" s="341" t="s">
        <v>530</v>
      </c>
      <c r="B1" s="342"/>
      <c r="C1" s="342"/>
    </row>
    <row r="2" spans="1:3" ht="21" x14ac:dyDescent="0.4">
      <c r="A2" s="1712" t="s">
        <v>531</v>
      </c>
      <c r="B2" s="1712"/>
      <c r="C2" s="1712"/>
    </row>
    <row r="3" spans="1:3" ht="16.350000000000001" customHeight="1" x14ac:dyDescent="0.35">
      <c r="A3" s="1713" t="s">
        <v>532</v>
      </c>
      <c r="B3" s="1713"/>
      <c r="C3" s="1713"/>
    </row>
    <row r="4" spans="1:3" ht="9.9" customHeight="1" x14ac:dyDescent="0.35">
      <c r="A4" s="344"/>
    </row>
    <row r="5" spans="1:3" x14ac:dyDescent="0.25">
      <c r="A5" s="346" t="s">
        <v>533</v>
      </c>
      <c r="B5" s="347"/>
      <c r="C5" s="346" t="s">
        <v>534</v>
      </c>
    </row>
    <row r="6" spans="1:3" ht="12.6" customHeight="1" x14ac:dyDescent="0.25">
      <c r="A6" s="1714" t="s">
        <v>535</v>
      </c>
      <c r="B6" s="1714"/>
      <c r="C6" s="1714"/>
    </row>
    <row r="7" spans="1:3" s="349" customFormat="1" ht="12.6" customHeight="1" x14ac:dyDescent="0.25">
      <c r="A7" s="348" t="s">
        <v>536</v>
      </c>
      <c r="B7" s="349" t="s">
        <v>537</v>
      </c>
      <c r="C7" s="348" t="s">
        <v>538</v>
      </c>
    </row>
    <row r="8" spans="1:3" hidden="1" x14ac:dyDescent="0.25">
      <c r="A8" s="345" t="str">
        <f>'[2]1a. Rater Design Checklist'!C9</f>
        <v> 1. Partnership Status </v>
      </c>
      <c r="B8" s="343">
        <f>'[2]1a. Rater Design Checklist'!D9</f>
        <v>0</v>
      </c>
      <c r="C8" s="345">
        <f>'[2]1a. Rater Design Checklist'!F9</f>
        <v>0</v>
      </c>
    </row>
    <row r="9" spans="1:3" ht="66" hidden="1" x14ac:dyDescent="0.25">
      <c r="A9" s="345" t="str">
        <f>'[2]1a. Rater Design Checklist'!C12</f>
        <v>1.1 Rater has verified and documented that builder or developer has an ENERGY STAR partnership agreement using www.energystar.gov/partnerlocator.
Builder Name: __________________________
Developer Name: _______________________</v>
      </c>
      <c r="B9" s="343">
        <f>'[2]1a. Rater Design Checklist'!D12</f>
        <v>0</v>
      </c>
      <c r="C9" s="345">
        <f>'[2]1a. Rater Design Checklist'!F12</f>
        <v>0</v>
      </c>
    </row>
    <row r="10" spans="1:3" ht="49.65" hidden="1" customHeight="1" x14ac:dyDescent="0.25">
      <c r="A10" s="345" t="str">
        <f>'[2]1a. Rater Design Checklist'!C13</f>
        <v>1.2 ASHRAE Only: Rater has verified that modeler is listed in the online directory using www.energystar.gov/ASHRAEdirectory.
Modeler name: ________________________________ (Not required for projects in California)</v>
      </c>
      <c r="B10" s="343">
        <f>'[2]1a. Rater Design Checklist'!D13</f>
        <v>0</v>
      </c>
      <c r="C10" s="345">
        <f>'[2]1a. Rater Design Checklist'!F13</f>
        <v>0</v>
      </c>
    </row>
    <row r="11" spans="1:3" ht="12.6" hidden="1" customHeight="1" x14ac:dyDescent="0.25">
      <c r="A11" s="345" t="str">
        <f>'[2]1a. Rater Design Checklist'!C14</f>
        <v>2. High-Performance Fenestration </v>
      </c>
      <c r="B11" s="343">
        <f>'[2]1a. Rater Design Checklist'!D14</f>
        <v>0</v>
      </c>
      <c r="C11" s="345">
        <f>'[2]1a. Rater Design Checklist'!F14</f>
        <v>0</v>
      </c>
    </row>
    <row r="12" spans="1:3" ht="12.6" hidden="1" customHeight="1" x14ac:dyDescent="0.25">
      <c r="A12" s="345" t="str">
        <f>'[2]1a. Rater Design Checklist'!C15</f>
        <v xml:space="preserve">2.1 Dwelling units: </v>
      </c>
      <c r="B12" s="343">
        <f>'[2]1a. Rater Design Checklist'!D15</f>
        <v>0</v>
      </c>
      <c r="C12" s="345">
        <f>'[2]1a. Rater Design Checklist'!F15</f>
        <v>0</v>
      </c>
    </row>
    <row r="13" spans="1:3" ht="37.35" hidden="1" customHeight="1" x14ac:dyDescent="0.25">
      <c r="A13" s="345" t="str">
        <f>'[2]1a. Rater Design Checklist'!C16</f>
        <v xml:space="preserve"> 2.1.1 Prescriptive: Specified fenestration meets or exceeds ENERGY STAR MF Reference Design requirements. 5
</v>
      </c>
      <c r="B13" s="343">
        <f>'[2]1a. Rater Design Checklist'!D16</f>
        <v>0</v>
      </c>
      <c r="C13" s="345">
        <f>'[2]1a. Rater Design Checklist'!F16</f>
        <v>0</v>
      </c>
    </row>
    <row r="14" spans="1:3" ht="37.35" hidden="1" customHeight="1" x14ac:dyDescent="0.25">
      <c r="A14" s="345" t="str">
        <f>'[2]1a. Rater Design Checklist'!C18</f>
        <v xml:space="preserve"> 2.1.2 ERI and ASHRAE Only: Specified fenestration meets or exceeds 2009 IECC residential requirements. 5
</v>
      </c>
      <c r="B14" s="343">
        <f>'[2]1a. Rater Design Checklist'!D18</f>
        <v>0</v>
      </c>
      <c r="C14" s="345">
        <f>'[2]1a. Rater Design Checklist'!F18</f>
        <v>0</v>
      </c>
    </row>
    <row r="15" spans="1:3" ht="24.9" hidden="1" customHeight="1" x14ac:dyDescent="0.25">
      <c r="A15" s="345" t="str">
        <f>'[2]1a. Rater Design Checklist'!C20</f>
        <v xml:space="preserve">2.2 Common space: 2
</v>
      </c>
      <c r="B15" s="343">
        <f>'[2]1a. Rater Design Checklist'!D20</f>
        <v>0</v>
      </c>
      <c r="C15" s="345">
        <f>'[2]1a. Rater Design Checklist'!F20</f>
        <v>0</v>
      </c>
    </row>
    <row r="16" spans="1:3" ht="39.6" hidden="1" x14ac:dyDescent="0.25">
      <c r="A16" s="345" t="str">
        <f>'[2]1a. Rater Design Checklist'!C22</f>
        <v xml:space="preserve"> 2.2.1 ERI and Prescriptive: Specified fenestration meets or exceeds ENERGY STAR MF Reference Design requirements. 5
</v>
      </c>
      <c r="B16" s="343">
        <f>'[2]1a. Rater Design Checklist'!D22</f>
        <v>0</v>
      </c>
      <c r="C16" s="345">
        <f>'[2]1a. Rater Design Checklist'!F22</f>
        <v>0</v>
      </c>
    </row>
    <row r="17" spans="1:3" ht="39.6" hidden="1" x14ac:dyDescent="0.25">
      <c r="A17" s="345" t="str">
        <f>'[2]1a. Rater Design Checklist'!C24</f>
        <v xml:space="preserve"> 2.2.2 ASHRAE Only: Specified fenestration meets or exceeds 2009 IECC commercial requirements. 5
</v>
      </c>
      <c r="B17" s="343">
        <f>'[2]1a. Rater Design Checklist'!D24</f>
        <v>0</v>
      </c>
      <c r="C17" s="345">
        <f>'[2]1a. Rater Design Checklist'!F24</f>
        <v>0</v>
      </c>
    </row>
    <row r="18" spans="1:3" hidden="1" x14ac:dyDescent="0.25">
      <c r="A18" s="345" t="str">
        <f>'[2]1a. Rater Design Checklist'!C26</f>
        <v>3. High-Performance Insulation </v>
      </c>
      <c r="B18" s="343">
        <f>'[2]1a. Rater Design Checklist'!D26</f>
        <v>0</v>
      </c>
      <c r="C18" s="345">
        <f>'[2]1a. Rater Design Checklist'!F26</f>
        <v>0</v>
      </c>
    </row>
    <row r="19" spans="1:3" hidden="1" x14ac:dyDescent="0.25">
      <c r="A19" s="345" t="str">
        <f>'[2]1a. Rater Design Checklist'!C27</f>
        <v xml:space="preserve">3.1 Dwelling unit: </v>
      </c>
      <c r="B19" s="343">
        <f>'[2]1a. Rater Design Checklist'!D27</f>
        <v>0</v>
      </c>
      <c r="C19" s="345">
        <f>'[2]1a. Rater Design Checklist'!F27</f>
        <v>0</v>
      </c>
    </row>
    <row r="20" spans="1:3" ht="39.6" hidden="1" x14ac:dyDescent="0.25">
      <c r="A20" s="345" t="str">
        <f>'[2]1a. Rater Design Checklist'!C28</f>
        <v xml:space="preserve"> 3.1.1: Prescriptive: Specified ceiling 6, wall 7, and slab-on-grade insulation levels meet or exceed ENERGY STAR MF Reference Design requirements. 8, 9, 10 
</v>
      </c>
      <c r="B20" s="343">
        <f>'[2]1a. Rater Design Checklist'!D28</f>
        <v>0</v>
      </c>
      <c r="C20" s="345">
        <f>'[2]1a. Rater Design Checklist'!F28</f>
        <v>0</v>
      </c>
    </row>
    <row r="21" spans="1:3" ht="39.6" hidden="1" x14ac:dyDescent="0.25">
      <c r="A21" s="345" t="str">
        <f>'[2]1a. Rater Design Checklist'!C34</f>
        <v xml:space="preserve"> 3.1.2: ERI and ASHRAE Only: Specified ceiling 6, wall 7, floor, and slab-on-grade insulation levels meet or exceed values from the “Group R” column in the 2009 IECC Commercial chapter. 8, 9, 10
</v>
      </c>
      <c r="B21" s="343">
        <f>'[2]1a. Rater Design Checklist'!D34</f>
        <v>0</v>
      </c>
      <c r="C21" s="345">
        <f>'[2]1a. Rater Design Checklist'!F34</f>
        <v>0</v>
      </c>
    </row>
    <row r="22" spans="1:3" ht="26.4" hidden="1" x14ac:dyDescent="0.25">
      <c r="A22" s="345" t="str">
        <f>'[2]1a. Rater Design Checklist'!C40</f>
        <v xml:space="preserve">3.2 Common space: 2
</v>
      </c>
      <c r="B22" s="343">
        <f>'[2]1a. Rater Design Checklist'!D40</f>
        <v>0</v>
      </c>
      <c r="C22" s="345">
        <f>'[2]1a. Rater Design Checklist'!F40</f>
        <v>0</v>
      </c>
    </row>
    <row r="23" spans="1:3" ht="39.6" hidden="1" x14ac:dyDescent="0.25">
      <c r="A23" s="345" t="str">
        <f>'[2]1a. Rater Design Checklist'!C42</f>
        <v xml:space="preserve"> 3.2.1 ERI and Prescriptive: Specified ceiling 6, wall 7, and slab-on-grade insulation levels meet or exceed ENERGY STAR MF Reference Design requirements. 8, 9, 10
</v>
      </c>
      <c r="B23" s="343">
        <f>'[2]1a. Rater Design Checklist'!D42</f>
        <v>0</v>
      </c>
      <c r="C23" s="345">
        <f>'[2]1a. Rater Design Checklist'!F42</f>
        <v>0</v>
      </c>
    </row>
    <row r="24" spans="1:3" ht="39.6" hidden="1" x14ac:dyDescent="0.25">
      <c r="A24" s="345" t="str">
        <f>'[2]1a. Rater Design Checklist'!C48</f>
        <v xml:space="preserve"> 3.2.2 ASHRAE Only: Specified ceiling 6, wall 7, floor, and slab-on-grade insulation levels meet or exceed the values from the "All Other" column in the 2009 IECC Commercial chapter. 8, 9, 10
</v>
      </c>
      <c r="B24" s="343">
        <f>'[2]1a. Rater Design Checklist'!D48</f>
        <v>0</v>
      </c>
      <c r="C24" s="345">
        <f>'[2]1a. Rater Design Checklist'!F48</f>
        <v>0</v>
      </c>
    </row>
    <row r="25" spans="1:3" ht="26.4" hidden="1" x14ac:dyDescent="0.25">
      <c r="A25" s="345" t="str">
        <f>'[2]1a. Rater Design Checklist'!C54</f>
        <v xml:space="preserve">4. Review of HVAC Design Report
</v>
      </c>
      <c r="B25" s="343">
        <f>'[2]1a. Rater Design Checklist'!D54</f>
        <v>0</v>
      </c>
      <c r="C25" s="345">
        <f>'[2]1a. Rater Design Checklist'!F54</f>
        <v>0</v>
      </c>
    </row>
    <row r="26" spans="1:3" ht="26.4" hidden="1" x14ac:dyDescent="0.25">
      <c r="A26" s="345" t="str">
        <f>'[2]1a. Rater Design Checklist'!C55</f>
        <v>4a. Review of ANSI / RESNET / ACCA Std. 310 HVAC Design Report with ENERGY STAR MFNC Supplement 3</v>
      </c>
      <c r="B26" s="343">
        <f>'[2]1a. Rater Design Checklist'!D55</f>
        <v>0</v>
      </c>
      <c r="C26" s="345">
        <f>'[2]1a. Rater Design Checklist'!F55</f>
        <v>0</v>
      </c>
    </row>
    <row r="27" spans="1:3" ht="26.4" hidden="1" x14ac:dyDescent="0.25">
      <c r="A27" s="345" t="str">
        <f>'[2]1a. Rater Design Checklist'!C57</f>
        <v>4a.1 HVAC design report compliant with ANSI / RESNET / ACCA Std. 310, with the ENERGY STAR MFNC supplement, collected for records, with no Items left blank.</v>
      </c>
      <c r="B27" s="343">
        <f>'[2]1a. Rater Design Checklist'!D57</f>
        <v>0</v>
      </c>
      <c r="C27" s="345">
        <f>'[2]1a. Rater Design Checklist'!F57</f>
        <v>0</v>
      </c>
    </row>
    <row r="28" spans="1:3" ht="26.4" hidden="1" x14ac:dyDescent="0.25">
      <c r="A28" s="345" t="str">
        <f>'[2]1a. Rater Design Checklist'!C58</f>
        <v>4a.2 ANSI / RESNET / ACCA Std. 310 Rater Design Review Checklist completed for applicable housing type, with all items marked, “Rater Verified”.</v>
      </c>
      <c r="B28" s="343">
        <f>'[2]1a. Rater Design Checklist'!D58</f>
        <v>0</v>
      </c>
      <c r="C28" s="345">
        <f>'[2]1a. Rater Design Checklist'!F58</f>
        <v>0</v>
      </c>
    </row>
    <row r="29" spans="1:3" ht="26.4" hidden="1" x14ac:dyDescent="0.25">
      <c r="A29" s="345" t="str">
        <f>'[2]1a. Rater Design Checklist'!C59</f>
        <v>4a.3 Prescriptive Path: Dwelling Unit Mechanical Ventilation is &lt;150% of ASHRAE 62.2-2013 requirements. 11</v>
      </c>
      <c r="B29" s="343">
        <f>'[2]1a. Rater Design Checklist'!D59</f>
        <v>0</v>
      </c>
      <c r="C29" s="345">
        <f>'[2]1a. Rater Design Checklist'!F59</f>
        <v>0</v>
      </c>
    </row>
    <row r="30" spans="1:3" hidden="1" x14ac:dyDescent="0.25">
      <c r="A30" s="345" t="str">
        <f>'[2]1a. Rater Design Checklist'!C61</f>
        <v>4a.4 Total occupant gains do not exceed 645 Btuh per occupant. 12</v>
      </c>
      <c r="B30" s="343">
        <f>'[2]1a. Rater Design Checklist'!D61</f>
        <v>0</v>
      </c>
      <c r="C30" s="345">
        <f>'[2]1a. Rater Design Checklist'!F61</f>
        <v>0</v>
      </c>
    </row>
    <row r="31" spans="1:3" hidden="1" x14ac:dyDescent="0.25">
      <c r="A31" s="345" t="str">
        <f>'[2]1a. Rater Design Checklist'!C63</f>
        <v>4a.5 Non-occupant internal gains are less than 3,600 Btuh.</v>
      </c>
      <c r="B31" s="343">
        <f>'[2]1a. Rater Design Checklist'!D63</f>
        <v>0</v>
      </c>
      <c r="C31" s="345">
        <f>'[2]1a. Rater Design Checklist'!F63</f>
        <v>0</v>
      </c>
    </row>
    <row r="32" spans="1:3" hidden="1" x14ac:dyDescent="0.25">
      <c r="A32" s="345" t="str">
        <f>'[2]1a. Rater Design Checklist'!C64</f>
        <v>4a.6 Cooling sizing % is within the cooling sizing limit selected by the HVAC designer.</v>
      </c>
      <c r="B32" s="343">
        <f>'[2]1a. Rater Design Checklist'!D64</f>
        <v>0</v>
      </c>
      <c r="C32" s="345">
        <f>'[2]1a. Rater Design Checklist'!F64</f>
        <v>0</v>
      </c>
    </row>
    <row r="33" spans="1:3" ht="26.4" hidden="1" x14ac:dyDescent="0.25">
      <c r="A33" s="345" t="str">
        <f>'[2]1a. Rater Design Checklist'!C65</f>
        <v>4b. Review of ENERGY STAR MFNC National HVAC Design Report (National HVAC Design Report Item # indicatd in parenthesis)</v>
      </c>
      <c r="B33" s="343">
        <f>'[2]1a. Rater Design Checklist'!D65</f>
        <v>0</v>
      </c>
      <c r="C33" s="345">
        <f>'[2]1a. Rater Design Checklist'!F65</f>
        <v>0</v>
      </c>
    </row>
    <row r="34" spans="1:3" hidden="1" x14ac:dyDescent="0.25">
      <c r="A34" s="345" t="str">
        <f>'[2]1a. Rater Design Checklist'!C66</f>
        <v>4b.1 National HVAC Design Report collected for records, with no Items left blank.</v>
      </c>
      <c r="B34" s="343">
        <f>'[2]1a. Rater Design Checklist'!D66</f>
        <v>0</v>
      </c>
      <c r="C34" s="345">
        <f>'[2]1a. Rater Design Checklist'!F66</f>
        <v>0</v>
      </c>
    </row>
    <row r="35" spans="1:3" ht="26.4" hidden="1" x14ac:dyDescent="0.25">
      <c r="A35" s="345" t="str">
        <f>'[2]1a. Rater Design Checklist'!C67</f>
        <v>4b.2 National HVAC Design Report reviewed by Rater for the following parameters (National HVAC Design Report Item # indicated in parenthesis): </v>
      </c>
      <c r="B35" s="343">
        <f>'[2]1a. Rater Design Checklist'!D67</f>
        <v>0</v>
      </c>
      <c r="C35" s="345">
        <f>'[2]1a. Rater Design Checklist'!F67</f>
        <v>0</v>
      </c>
    </row>
    <row r="36" spans="1:3" ht="39.6" hidden="1" x14ac:dyDescent="0.25">
      <c r="A36" s="345" t="str">
        <f>'[2]1a. Rater Design Checklist'!C68</f>
        <v xml:space="preserve"> 4b.2.1 Prescriptive Path: Dwelling Unit Mechanical Ventilation (2.7) is &lt;150% of ASHRAE 62.2-2013 requirements. 11
</v>
      </c>
      <c r="B36" s="343">
        <f>'[2]1a. Rater Design Checklist'!D68</f>
        <v>0</v>
      </c>
      <c r="C36" s="345">
        <f>'[2]1a. Rater Design Checklist'!F68</f>
        <v>0</v>
      </c>
    </row>
    <row r="37" spans="1:3" ht="66" hidden="1" x14ac:dyDescent="0.25">
      <c r="A37" s="345" t="str">
        <f>'[2]1a. Rater Design Checklist'!C70</f>
        <v xml:space="preserve"> 4b.2.2 Cooling season and heating season outdoor design temperatures used in loads (3.4) are within the limits defined for the State and County where the building will be built, or the designer has provided an allowance from EPA to use alternative values. All limits are published at www.energystar.gov/hvacdesigntemps. Note that revised (i.e., 2019 Edition) limits are required to be used for all HVAC Design Reports generated after 07/01/2020. 14</v>
      </c>
      <c r="B37" s="343">
        <f>'[2]1a. Rater Design Checklist'!D70</f>
        <v>0</v>
      </c>
      <c r="C37" s="345">
        <f>'[2]1a. Rater Design Checklist'!F70</f>
        <v>0</v>
      </c>
    </row>
    <row r="38" spans="1:3" ht="39.6" hidden="1" x14ac:dyDescent="0.25">
      <c r="A38" s="345" t="str">
        <f>'[2]1a. Rater Design Checklist'!C72</f>
        <v xml:space="preserve"> 4b.2.3 Number of occupants used in loads (3.6) is within ± 2 of the dwelling unit to be certified and occupant gains (3.7) do not exceed 645 Btuh per occupant. 12
</v>
      </c>
      <c r="B38" s="343">
        <f>'[2]1a. Rater Design Checklist'!D72</f>
        <v>0</v>
      </c>
      <c r="C38" s="345">
        <f>'[2]1a. Rater Design Checklist'!F72</f>
        <v>0</v>
      </c>
    </row>
    <row r="39" spans="1:3" ht="26.4" hidden="1" x14ac:dyDescent="0.25">
      <c r="A39" s="345" t="str">
        <f>'[2]1a. Rater Design Checklist'!C74</f>
        <v xml:space="preserve"> 4b.2.4 Conditioned floor area used in loads (3.8) is between 100 sq. ft. smaller and 300 sq. ft. larger than the dwelling unit to be certified. 15</v>
      </c>
      <c r="B39" s="343">
        <f>'[2]1a. Rater Design Checklist'!D74</f>
        <v>0</v>
      </c>
      <c r="C39" s="345">
        <f>'[2]1a. Rater Design Checklist'!F74</f>
        <v>0</v>
      </c>
    </row>
    <row r="40" spans="1:3" ht="39.6" hidden="1" x14ac:dyDescent="0.25">
      <c r="A40" s="345" t="str">
        <f>'[2]1a. Rater Design Checklist'!C76</f>
        <v xml:space="preserve"> 4b.2.5 Window area used in loads (3.9) is between 15 sq. ft. smaller and 60 sq. ft. larger than the dwelling unit to be certified, or for dwelling units to be certified with &gt; 500 sq. ft. of window area, between 3% smaller and 12% larger. 16</v>
      </c>
      <c r="B40" s="343">
        <f>'[2]1a. Rater Design Checklist'!D76</f>
        <v>0</v>
      </c>
      <c r="C40" s="345">
        <f>'[2]1a. Rater Design Checklist'!F76</f>
        <v>0</v>
      </c>
    </row>
    <row r="41" spans="1:3" ht="39.6" hidden="1" x14ac:dyDescent="0.25">
      <c r="A41" s="345" t="str">
        <f>'[2]1a. Rater Design Checklist'!C78</f>
        <v xml:space="preserve"> 4b.2.6 Predominant window SHGC used in loads (3.10) is within 0.1 of predominant value in the dwelling unit to be certified. 17
</v>
      </c>
      <c r="B41" s="343">
        <f>'[2]1a. Rater Design Checklist'!D78</f>
        <v>0</v>
      </c>
      <c r="C41" s="345">
        <f>'[2]1a. Rater Design Checklist'!F78</f>
        <v>0</v>
      </c>
    </row>
    <row r="42" spans="1:3" ht="26.4" hidden="1" x14ac:dyDescent="0.25">
      <c r="A42" s="345" t="str">
        <f>'[2]1a. Rater Design Checklist'!C80</f>
        <v xml:space="preserve"> 4b.2.7 Mechanical ventilation used in loads (3.12) is the same as the ventilation design (2.7) for the given unit plan.</v>
      </c>
      <c r="B42" s="343">
        <f>'[2]1a. Rater Design Checklist'!D80</f>
        <v>0</v>
      </c>
      <c r="C42" s="345">
        <f>'[2]1a. Rater Design Checklist'!F80</f>
        <v>0</v>
      </c>
    </row>
    <row r="43" spans="1:3" hidden="1" x14ac:dyDescent="0.25">
      <c r="A43" s="345" t="str">
        <f>'[2]1a. Rater Design Checklist'!C81</f>
        <v xml:space="preserve"> 4b.2.8 Non-occupant internal gains (3.13) are less than 3,600 Btuh.</v>
      </c>
      <c r="B43" s="343">
        <f>'[2]1a. Rater Design Checklist'!D81</f>
        <v>0</v>
      </c>
      <c r="C43" s="345">
        <f>'[2]1a. Rater Design Checklist'!F81</f>
        <v>0</v>
      </c>
    </row>
    <row r="44" spans="1:3" ht="39.6" hidden="1" x14ac:dyDescent="0.25">
      <c r="A44" s="345" t="str">
        <f>'[2]1a. Rater Design Checklist'!C82</f>
        <v xml:space="preserve"> 4b.2.9 Sensible &amp; total heat gain are documented (3.14, 3.16) for the orientation of the dwelling unit to be certified. 18
</v>
      </c>
      <c r="B44" s="343">
        <f>'[2]1a. Rater Design Checklist'!D82</f>
        <v>0</v>
      </c>
      <c r="C44" s="345">
        <f>'[2]1a. Rater Design Checklist'!F82</f>
        <v>0</v>
      </c>
    </row>
    <row r="45" spans="1:3" hidden="1" x14ac:dyDescent="0.25">
      <c r="A45" s="345" t="str">
        <f>'[2]1a. Rater Design Checklist'!C84</f>
        <v xml:space="preserve"> 4b.2.10 Cooling sizing % (4.18) is within the cooling sizing limit (4.19) selected by the HVAC designer.</v>
      </c>
      <c r="B45" s="343">
        <f>'[2]1a. Rater Design Checklist'!D84</f>
        <v>0</v>
      </c>
      <c r="C45" s="345">
        <f>'[2]1a. Rater Design Checklist'!F84</f>
        <v>0</v>
      </c>
    </row>
    <row r="46" spans="1:3" hidden="1" x14ac:dyDescent="0.25">
      <c r="A46" s="345" t="str">
        <f>'[2]1a. Rater Design Checklist'!C85</f>
        <v>5. Additional Construction Document Review</v>
      </c>
      <c r="B46" s="343">
        <f>'[2]1a. Rater Design Checklist'!D85</f>
        <v>0</v>
      </c>
      <c r="C46" s="345">
        <f>'[2]1a. Rater Design Checklist'!F85</f>
        <v>0</v>
      </c>
    </row>
    <row r="47" spans="1:3" ht="52.8" hidden="1" x14ac:dyDescent="0.25">
      <c r="A47" s="345" t="str">
        <f>'[2]1a. Rater Design Checklist'!C86</f>
        <v>5.1 Air Sealing: Review construction documents to verify that air-sealing details at assemblies adjacent to exterior and unconditioned spaces are represented which, at a minimum, demonstrate compliance with checklist items in Section 4 of the National Rater Field Checklist (noted with an asterisk below). Items 5.1.9 and 5.1.10 are not verified by the Rater in the field, but are recommended.</v>
      </c>
      <c r="B47" s="343" t="str">
        <f>'[2]1a. Rater Design Checklist'!D86</f>
        <v>N/A</v>
      </c>
      <c r="C47" s="345">
        <f>'[2]1a. Rater Design Checklist'!F86</f>
        <v>0</v>
      </c>
    </row>
    <row r="48" spans="1:3" ht="26.4" hidden="1" x14ac:dyDescent="0.25">
      <c r="A48" s="345" t="str">
        <f>'[2]1a. Rater Design Checklist'!C87</f>
        <v xml:space="preserve"> 5.1.1 Ducts, flues, shafts, plumbing, piping, wiring, exhaust fans, &amp; other penetrations to unconditioned space sealed, with blocking / flashing as needed*.</v>
      </c>
      <c r="B48" s="343" t="str">
        <f>'[2]1a. Rater Design Checklist'!D87</f>
        <v>N/A</v>
      </c>
      <c r="C48" s="345">
        <f>'[2]1a. Rater Design Checklist'!F87</f>
        <v>0</v>
      </c>
    </row>
    <row r="49" spans="1:3" ht="26.4" hidden="1" x14ac:dyDescent="0.25">
      <c r="A49" s="345" t="str">
        <f>'[2]1a. Rater Design Checklist'!C88</f>
        <v xml:space="preserve"> 5.1.2 Recessed lighting fixtures adjacent to unconditioned space ICAT labeled and gasketed. Also, if in insulated ceiling without attic above, exterior surface of fixture insulated to ≥ R-10 in CZ 4-8*.</v>
      </c>
      <c r="B49" s="343" t="str">
        <f>'[2]1a. Rater Design Checklist'!D88</f>
        <v>N/A</v>
      </c>
      <c r="C49" s="345">
        <f>'[2]1a. Rater Design Checklist'!F88</f>
        <v>0</v>
      </c>
    </row>
    <row r="50" spans="1:3" ht="26.4" hidden="1" x14ac:dyDescent="0.25">
      <c r="A50" s="345" t="str">
        <f>'[2]1a. Rater Design Checklist'!C89</f>
        <v xml:space="preserve"> 5.1.3 Continuous top plate or blocking is at top of walls adjoining unconditioned space including at balloon-framed parapets, and sealed*.</v>
      </c>
      <c r="B50" s="343" t="str">
        <f>'[2]1a. Rater Design Checklist'!D89</f>
        <v>N/A</v>
      </c>
      <c r="C50" s="345">
        <f>'[2]1a. Rater Design Checklist'!F89</f>
        <v>0</v>
      </c>
    </row>
    <row r="51" spans="1:3" ht="39.6" hidden="1" x14ac:dyDescent="0.25">
      <c r="A51" s="345" t="str">
        <f>'[2]1a. Rater Design Checklist'!C90</f>
        <v xml:space="preserve"> 5.1.4 Drywall sealed to top plate at all unconditioned attic / wall interfaces using caulk, foam, drywall adhesive (but not other construction adhesives), or equivalent material. Either apply sealant directly between drywall and top plate or to the seam between the two from the attic above*.</v>
      </c>
      <c r="B51" s="343" t="str">
        <f>'[2]1a. Rater Design Checklist'!D90</f>
        <v>N/A</v>
      </c>
      <c r="C51" s="345">
        <f>'[2]1a. Rater Design Checklist'!F90</f>
        <v>0</v>
      </c>
    </row>
    <row r="52" spans="1:3" ht="26.4" hidden="1" x14ac:dyDescent="0.25">
      <c r="A52" s="345" t="str">
        <f>'[2]1a. Rater Design Checklist'!C91</f>
        <v xml:space="preserve"> 5.1.5 Rough opening around windows &amp; exterior doors sealed*. 19
</v>
      </c>
      <c r="B52" s="343" t="str">
        <f>'[2]1a. Rater Design Checklist'!D91</f>
        <v>N/A</v>
      </c>
      <c r="C52" s="345">
        <f>'[2]1a. Rater Design Checklist'!F91</f>
        <v>0</v>
      </c>
    </row>
    <row r="53" spans="1:3" ht="26.4" hidden="1" x14ac:dyDescent="0.25">
      <c r="A53" s="345" t="str">
        <f>'[2]1a. Rater Design Checklist'!C93</f>
        <v xml:space="preserve"> 5.1.6 Assemblies that separate attached garages from occupiable space sealed and, also, an air barrier installed, sealed, and aligned with these assemblies*. 20</v>
      </c>
      <c r="B53" s="343" t="str">
        <f>'[2]1a. Rater Design Checklist'!D93</f>
        <v>N/A</v>
      </c>
      <c r="C53" s="345">
        <f>'[2]1a. Rater Design Checklist'!F93</f>
        <v>0</v>
      </c>
    </row>
    <row r="54" spans="1:3" ht="39.6" hidden="1" x14ac:dyDescent="0.25">
      <c r="A54" s="345" t="str">
        <f>'[2]1a. Rater Design Checklist'!C95</f>
        <v xml:space="preserve"> 5.1.7 Attic access panels, roof hatches and drop-down stairs are gasketed (i.e., not caulked) or equipped with durable covers that are gasketed*. 21
</v>
      </c>
      <c r="B54" s="343" t="str">
        <f>'[2]1a. Rater Design Checklist'!D95</f>
        <v>N/A</v>
      </c>
      <c r="C54" s="345">
        <f>'[2]1a. Rater Design Checklist'!F95</f>
        <v>0</v>
      </c>
    </row>
    <row r="55" spans="1:3" ht="39.6" hidden="1" x14ac:dyDescent="0.25">
      <c r="A55" s="345" t="str">
        <f>'[2]1a. Rater Design Checklist'!C97</f>
        <v xml:space="preserve"> 5.1.8 Doors adjacent to unconditioned space (e.g., attics, garages, basements), ambient conditions, or a unit entrance to a corridor / stairwell, made substantially air-tight with doorsweep and weatherstripping or equivalent gasket*.</v>
      </c>
      <c r="B55" s="343" t="str">
        <f>'[2]1a. Rater Design Checklist'!D97</f>
        <v>N/A</v>
      </c>
      <c r="C55" s="345">
        <f>'[2]1a. Rater Design Checklist'!F97</f>
        <v>0</v>
      </c>
    </row>
    <row r="56" spans="1:3" ht="52.8" hidden="1" x14ac:dyDescent="0.25">
      <c r="A56" s="345" t="str">
        <f>'[2]1a. Rater Design Checklist'!C98</f>
        <v xml:space="preserve"> 5.1.9 Above-grade sill plates adjacent to conditioned space sealed to foundation or sub-floor. Gasket also placed beneath above-grade sill plate if resting atop concrete / masonry &amp; adjacent to conditioned space. 22, 23
</v>
      </c>
      <c r="B56" s="343" t="str">
        <f>'[2]1a. Rater Design Checklist'!D98</f>
        <v>N/A</v>
      </c>
      <c r="C56" s="345">
        <f>'[2]1a. Rater Design Checklist'!F98</f>
        <v>0</v>
      </c>
    </row>
    <row r="57" spans="1:3" ht="26.4" hidden="1" x14ac:dyDescent="0.25">
      <c r="A57" s="345" t="str">
        <f>'[2]1a. Rater Design Checklist'!C101</f>
        <v xml:space="preserve"> 5.1.10 The gap between the common wall (e.g., the drywall shaft wall) and the structural framing between units sealed at all exterior boundaries.</v>
      </c>
      <c r="B57" s="343" t="str">
        <f>'[2]1a. Rater Design Checklist'!D101</f>
        <v>N/A</v>
      </c>
      <c r="C57" s="345">
        <f>'[2]1a. Rater Design Checklist'!F101</f>
        <v>0</v>
      </c>
    </row>
    <row r="58" spans="1:3" hidden="1" x14ac:dyDescent="0.25">
      <c r="A58" s="345" t="str">
        <f>'[2]1a. Rater Design Checklist'!C102</f>
        <v>5.2 Dwelling Unit Compartmentalization</v>
      </c>
      <c r="B58" s="343" t="str">
        <f>'[2]1a. Rater Design Checklist'!D102</f>
        <v>N/A</v>
      </c>
      <c r="C58" s="345">
        <f>'[2]1a. Rater Design Checklist'!F102</f>
        <v>0</v>
      </c>
    </row>
    <row r="59" spans="1:3" ht="79.2" hidden="1" x14ac:dyDescent="0.25">
      <c r="A59" s="345" t="str">
        <f>'[2]1a. Rater Design Checklist'!C103</f>
        <v xml:space="preserve"> 5.2.1 Review construction documents to verify that air-sealing details 24 are represented such that air exchange between the dwelling unit and outside as well as the dwelling unit and other adjacent spaces is minimized and designed to achieve compartmentalization less than or equal to 0.30 CFM50 per square feet of dwelling unit enclosure area, following procedures in ANSI / RESNET / ICC Std. 380.
</v>
      </c>
      <c r="B59" s="343" t="str">
        <f>'[2]1a. Rater Design Checklist'!D103</f>
        <v>N/A</v>
      </c>
      <c r="C59" s="345">
        <f>'[2]1a. Rater Design Checklist'!F103</f>
        <v>0</v>
      </c>
    </row>
    <row r="60" spans="1:3" hidden="1" x14ac:dyDescent="0.25">
      <c r="A60" s="345" t="str">
        <f>'[2]1a. Rater Design Checklist'!C105</f>
        <v xml:space="preserve"> 5.2.2 Seal all spaces 5.1.1-5.1.10 on adiabatic unit enclosure assemblies.</v>
      </c>
      <c r="B60" s="343" t="str">
        <f>'[2]1a. Rater Design Checklist'!D105</f>
        <v>N/A</v>
      </c>
      <c r="C60" s="345">
        <f>'[2]1a. Rater Design Checklist'!F105</f>
        <v>0</v>
      </c>
    </row>
    <row r="61" spans="1:3" ht="26.4" hidden="1" x14ac:dyDescent="0.25">
      <c r="A61" s="345" t="str">
        <f>'[2]1a. Rater Design Checklist'!C106</f>
        <v xml:space="preserve">5.3 Prescriptive Path: Verify that Window-to-wall ratio ≤ 30%. 25
</v>
      </c>
      <c r="B61" s="343" t="str">
        <f>'[2]1a. Rater Design Checklist'!D106</f>
        <v>N/A</v>
      </c>
      <c r="C61" s="345">
        <f>'[2]1a. Rater Design Checklist'!F106</f>
        <v>0</v>
      </c>
    </row>
    <row r="62" spans="1:3" ht="26.4" hidden="1" x14ac:dyDescent="0.25">
      <c r="A62" s="345" t="str">
        <f>'[2]1a. Rater Design Checklist'!C108</f>
        <v>5.4 Verify that fully-aligned air barrier details are in compliance with checklist items in Section 2 of the National Rater Field Checklist.</v>
      </c>
      <c r="B62" s="343" t="str">
        <f>'[2]1a. Rater Design Checklist'!D108</f>
        <v>N/A</v>
      </c>
      <c r="C62" s="345">
        <f>'[2]1a. Rater Design Checklist'!F108</f>
        <v>0</v>
      </c>
    </row>
    <row r="63" spans="1:3" ht="26.4" hidden="1" x14ac:dyDescent="0.25">
      <c r="A63" s="345" t="str">
        <f>'[2]1a. Rater Design Checklist'!C109</f>
        <v>5.5 Verify that thermal bridging details are in compliance with checklist items in Section 3 of the National Rater Field Checklist.</v>
      </c>
      <c r="B63" s="343" t="str">
        <f>'[2]1a. Rater Design Checklist'!D109</f>
        <v>N/A</v>
      </c>
      <c r="C63" s="345">
        <f>'[2]1a. Rater Design Checklist'!F109</f>
        <v>0</v>
      </c>
    </row>
    <row r="64" spans="1:3" ht="26.4" hidden="1" x14ac:dyDescent="0.25">
      <c r="A64" s="345" t="str">
        <f>'[2]1a. Rater Design Checklist'!C110</f>
        <v>5.6 Verify that HVAC details are in compliance with checklist items in Sections 5 - 10 of the National Rater Field Checklist.</v>
      </c>
      <c r="B64" s="343" t="str">
        <f>'[2]1a. Rater Design Checklist'!D110</f>
        <v>N/A</v>
      </c>
      <c r="C64" s="345">
        <f>'[2]1a. Rater Design Checklist'!F110</f>
        <v>0</v>
      </c>
    </row>
    <row r="65" spans="1:3" ht="26.4" hidden="1" x14ac:dyDescent="0.25">
      <c r="A65" s="345" t="str">
        <f>'[2]1a. Rater Design Checklist'!C111</f>
        <v xml:space="preserve"> 5.6.1 Verify that HVAC design includes access and means to measure the dwelling-unit mechanical ventilation airflow rate.</v>
      </c>
      <c r="B65" s="343" t="str">
        <f>'[2]1a. Rater Design Checklist'!D111</f>
        <v>N/A</v>
      </c>
      <c r="C65" s="345">
        <f>'[2]1a. Rater Design Checklist'!F111</f>
        <v>0</v>
      </c>
    </row>
    <row r="66" spans="1:3" ht="52.8" hidden="1" x14ac:dyDescent="0.25">
      <c r="A66" s="345" t="str">
        <f>'[2]1a. Rater Design Checklist'!C112</f>
        <v xml:space="preserve"> 5.6.2 Verify that bedrooms with design airflow ≥ 150 CFM are specified with a combination of transfer grilles, jump ducts dedicated return ducts, and/or undercut doors to achieve a Rater-measured pressure differential ≥ -5 Pa and ≤ +5 Pa with respect to the main body of the dwelling unit when all air handlers are operating.</v>
      </c>
      <c r="B66" s="343" t="str">
        <f>'[2]1a. Rater Design Checklist'!D112</f>
        <v>N/A</v>
      </c>
      <c r="C66" s="345">
        <f>'[2]1a. Rater Design Checklist'!F112</f>
        <v>0</v>
      </c>
    </row>
    <row r="67" spans="1:3" ht="66" hidden="1" x14ac:dyDescent="0.25">
      <c r="A67" s="345" t="str">
        <f>'[2]1a. Rater Design Checklist'!C113</f>
        <v xml:space="preserve"> 5.6.3 Verify that Functional Testing Agent(s) hold credential required to complete the applicable sections of the National HVAC Functional Testing Checklist for all HVAC equipment in the building. For Path A, a Functional Testing Agent is not needed to complete Sections 2 and 3 for unitary HVAC systems serving dwelling units that will be verified and graded by the Rater. 26
</v>
      </c>
      <c r="B67" s="343" t="str">
        <f>'[2]1a. Rater Design Checklist'!D113</f>
        <v>N/A</v>
      </c>
      <c r="C67" s="345">
        <f>'[2]1a. Rater Design Checklist'!F113</f>
        <v>0</v>
      </c>
    </row>
    <row r="68" spans="1:3" ht="39.6" hidden="1" x14ac:dyDescent="0.25">
      <c r="A68" s="345" t="str">
        <f>'[2]1a. Rater Design Checklist'!C115</f>
        <v>5.7 Verify that Domestic Hot Water, Lighting, Appliances, Plumbing Fixtures, and Whole Building Utility Data Acquisition Strategy details are in compliance with checklist items in Sections 11 – 14 of the National Rater Field Checklist.</v>
      </c>
      <c r="B68" s="343" t="str">
        <f>'[2]1a. Rater Design Checklist'!D115</f>
        <v>N/A</v>
      </c>
      <c r="C68" s="345">
        <f>'[2]1a. Rater Design Checklist'!F115</f>
        <v>0</v>
      </c>
    </row>
    <row r="71" spans="1:3" ht="12.6" customHeight="1" x14ac:dyDescent="0.25">
      <c r="A71" s="1714" t="s">
        <v>539</v>
      </c>
      <c r="B71" s="1714"/>
      <c r="C71" s="1714"/>
    </row>
    <row r="72" spans="1:3" s="350" customFormat="1" ht="12.6" customHeight="1" x14ac:dyDescent="0.25">
      <c r="A72" s="348" t="s">
        <v>536</v>
      </c>
      <c r="B72" s="349" t="s">
        <v>540</v>
      </c>
      <c r="C72" s="348" t="s">
        <v>541</v>
      </c>
    </row>
    <row r="73" spans="1:3" hidden="1" x14ac:dyDescent="0.25">
      <c r="A73" s="345" t="str">
        <f>'[2]1b. Rater Field Checklist'!C16</f>
        <v>Thermal Enclosure System </v>
      </c>
      <c r="B73" s="343">
        <f>'[2]1b. Rater Field Checklist'!D16</f>
        <v>0</v>
      </c>
      <c r="C73" s="345">
        <f>'[2]1b. Rater Field Checklist'!M16</f>
        <v>0</v>
      </c>
    </row>
    <row r="74" spans="1:3" hidden="1" x14ac:dyDescent="0.25">
      <c r="A74" s="345" t="str">
        <f>'[2]1b. Rater Field Checklist'!C17</f>
        <v>1. High-Performance Fenestration &amp; Insulation </v>
      </c>
      <c r="B74" s="343">
        <f>'[2]1b. Rater Field Checklist'!D17</f>
        <v>0</v>
      </c>
      <c r="C74" s="345">
        <f>'[2]1b. Rater Field Checklist'!M17</f>
        <v>0</v>
      </c>
    </row>
    <row r="75" spans="1:3" ht="26.4" hidden="1" x14ac:dyDescent="0.25">
      <c r="A75" s="345" t="str">
        <f>'[2]1b. Rater Field Checklist'!C18</f>
        <v>1.1 Fenestration meets or exceeds specification in Items 2.1 and 2.2 of the National Rater Design Review Checklist.</v>
      </c>
      <c r="B75" s="343">
        <f>'[2]1b. Rater Field Checklist'!D18</f>
        <v>0</v>
      </c>
      <c r="C75" s="345">
        <f>'[2]1b. Rater Field Checklist'!M18</f>
        <v>0</v>
      </c>
    </row>
    <row r="76" spans="1:3" ht="26.4" hidden="1" x14ac:dyDescent="0.25">
      <c r="A76" s="345" t="str">
        <f>'[2]1b. Rater Field Checklist'!C19</f>
        <v>1.2 Insulation meets or exceeds levels specified in Items 3.1 and 3.2 of the National Rater Design Review Checklist.</v>
      </c>
      <c r="B76" s="343">
        <f>'[2]1b. Rater Field Checklist'!D19</f>
        <v>0</v>
      </c>
      <c r="C76" s="345">
        <f>'[2]1b. Rater Field Checklist'!M19</f>
        <v>0</v>
      </c>
    </row>
    <row r="77" spans="1:3" ht="26.4" hidden="1" x14ac:dyDescent="0.25">
      <c r="A77" s="345" t="str">
        <f>'[2]1b. Rater Field Checklist'!C20</f>
        <v>1.3 All insulation achieves Grade I install per ANSI / RESNET / ICC Std. 301. Alternatives in footnote 6. 6,7</v>
      </c>
      <c r="B77" s="343">
        <f>'[2]1b. Rater Field Checklist'!D20</f>
        <v>0</v>
      </c>
      <c r="C77" s="345">
        <f>'[2]1b. Rater Field Checklist'!M20</f>
        <v>0</v>
      </c>
    </row>
    <row r="78" spans="1:3" hidden="1" x14ac:dyDescent="0.25">
      <c r="A78" s="345" t="str">
        <f>'[2]1b. Rater Field Checklist'!C23</f>
        <v>1.4 Prescriptive Path: Window-to-wall ratio ≤ 30%. 8</v>
      </c>
      <c r="B78" s="343">
        <f>'[2]1b. Rater Field Checklist'!D23</f>
        <v>0</v>
      </c>
      <c r="C78" s="345">
        <f>'[2]1b. Rater Field Checklist'!$M$23</f>
        <v>0</v>
      </c>
    </row>
    <row r="79" spans="1:3" ht="26.4" hidden="1" x14ac:dyDescent="0.25">
      <c r="A79" s="345" t="str">
        <f>'[2]1b. Rater Field Checklist'!C25</f>
        <v>1.5 Heated plenums in unconditioned space or ambient conditions must meet the following requirements: 9</v>
      </c>
      <c r="B79" s="343">
        <f>'[2]1b. Rater Field Checklist'!D25</f>
        <v>0</v>
      </c>
      <c r="C79" s="345">
        <f>'[2]1b. Rater Field Checklist'!$M$25</f>
        <v>0</v>
      </c>
    </row>
    <row r="80" spans="1:3" ht="26.4" hidden="1" x14ac:dyDescent="0.25">
      <c r="A80" s="345" t="str">
        <f>'[2]1b. Rater Field Checklist'!C27</f>
        <v xml:space="preserve"> 1.5.1 Sides of plenum are an air barrier and insulated to ≥ R-3ci in CZ 1-4; ≥ R-5ci in CZ 5-6; ≥ R-7.5ci in CZ 7; ≥ R-9.5ci in CZ 8, AND;</v>
      </c>
      <c r="B80" s="343">
        <f>'[2]1b. Rater Field Checklist'!D27</f>
        <v>0</v>
      </c>
      <c r="C80" s="345">
        <f>'[2]1b. Rater Field Checklist'!M27</f>
        <v>0</v>
      </c>
    </row>
    <row r="81" spans="1:3" ht="26.4" hidden="1" x14ac:dyDescent="0.25">
      <c r="A81" s="345" t="str">
        <f>'[2]1b. Rater Field Checklist'!C28</f>
        <v xml:space="preserve"> 1.5.2 Insulation at top of plenum meets or exceeds the R-value for mass floors from the “All Other” column of Table 502.2(1) of 2009 IECC, AND;</v>
      </c>
      <c r="B81" s="343">
        <f>'[2]1b. Rater Field Checklist'!D28</f>
        <v>0</v>
      </c>
      <c r="C81" s="345">
        <f>'[2]1b. Rater Field Checklist'!M28</f>
        <v>0</v>
      </c>
    </row>
    <row r="82" spans="1:3" hidden="1" x14ac:dyDescent="0.25">
      <c r="A82" s="345" t="str">
        <f>'[2]1b. Rater Field Checklist'!C29</f>
        <v xml:space="preserve"> 1.5.3 Bottom of plenum must have at least R-13 insulation. 10</v>
      </c>
      <c r="B82" s="343">
        <f>'[2]1b. Rater Field Checklist'!D29</f>
        <v>0</v>
      </c>
      <c r="C82" s="345">
        <f>'[2]1b. Rater Field Checklist'!M29</f>
        <v>0</v>
      </c>
    </row>
    <row r="83" spans="1:3" hidden="1" x14ac:dyDescent="0.25">
      <c r="A83" s="345" t="str">
        <f>'[2]1b. Rater Field Checklist'!C31</f>
        <v>1.6 Garages with space heating must meet the following requirements: 9</v>
      </c>
      <c r="B83" s="343">
        <f>'[2]1b. Rater Field Checklist'!D31</f>
        <v>0</v>
      </c>
      <c r="C83" s="345">
        <f>'[2]1b. Rater Field Checklist'!$M$31</f>
        <v>0</v>
      </c>
    </row>
    <row r="84" spans="1:3" ht="26.4" hidden="1" x14ac:dyDescent="0.25">
      <c r="A84" s="345" t="str">
        <f>'[2]1b. Rater Field Checklist'!C33</f>
        <v xml:space="preserve"> 1.6.1 Insulation on above grade walls and walls on the first story below grade ≥ R-5ci in CZ 5-6; ≥ R-7.5ci in CZ 7; ≥ R-9.5ci in CZ 8, AND;</v>
      </c>
      <c r="B84" s="343">
        <f>'[2]1b. Rater Field Checklist'!D33</f>
        <v>0</v>
      </c>
      <c r="C84" s="345">
        <f>'[2]1b. Rater Field Checklist'!M33</f>
        <v>0</v>
      </c>
    </row>
    <row r="85" spans="1:3" ht="26.4" hidden="1" x14ac:dyDescent="0.25">
      <c r="A85" s="345" t="str">
        <f>'[2]1b. Rater Field Checklist'!C34</f>
        <v xml:space="preserve"> 1.6.2 Garage ceiling insulation meets or exceeds the R-value for mass floors from the “All Other” column of Table 502.2(1) of 2009 IECC.</v>
      </c>
      <c r="B85" s="343">
        <f>'[2]1b. Rater Field Checklist'!D34</f>
        <v>0</v>
      </c>
      <c r="C85" s="345">
        <f>'[2]1b. Rater Field Checklist'!M34</f>
        <v>0</v>
      </c>
    </row>
    <row r="86" spans="1:3" ht="26.4" hidden="1" x14ac:dyDescent="0.25">
      <c r="A86" s="345" t="str">
        <f>'[2]1b. Rater Field Checklist'!C35</f>
        <v>2. Fully-Aligned Air Barriers 11 At each insulated location below, a complete air barrier is provided that is fully aligned as follows:</v>
      </c>
      <c r="B86" s="343">
        <f>'[2]1b. Rater Field Checklist'!D35</f>
        <v>0</v>
      </c>
      <c r="C86" s="345">
        <f>'[2]1b. Rater Field Checklist'!M35</f>
        <v>0</v>
      </c>
    </row>
    <row r="87" spans="1:3" ht="66" hidden="1" x14ac:dyDescent="0.25">
      <c r="A87" s="345" t="str">
        <f>'[2]1b. Rater Field Checklist'!C37</f>
        <v>Ceilings: At interior or exterior horizontal surface of ceiling insulation in Climate Zones 1-3; at interior horizontal surface of ceiling insulation in Climate Zones 4-8. Also, at exterior vertical surface of ceiling insulation in all climate zones (e.g., using a wind baffle that extends to the full height of the insulation in every bay or a tabbed baffle in each bay with a soffit vent that prevents wind washing in adjacent bays). 12</v>
      </c>
      <c r="B87" s="343">
        <f>'[2]1b. Rater Field Checklist'!D37</f>
        <v>0</v>
      </c>
      <c r="C87" s="345">
        <f>'[2]1b. Rater Field Checklist'!$M$37</f>
        <v>0</v>
      </c>
    </row>
    <row r="88" spans="1:3" hidden="1" x14ac:dyDescent="0.25">
      <c r="A88" s="345" t="str">
        <f>'[2]1b. Rater Field Checklist'!C39</f>
        <v>2.1 Dropped ceilings / soffits below unconditioned attics, chase / dead space, and all other ceilings.</v>
      </c>
      <c r="B88" s="343">
        <f>'[2]1b. Rater Field Checklist'!D39</f>
        <v>0</v>
      </c>
      <c r="C88" s="345">
        <f>'[2]1b. Rater Field Checklist'!M39</f>
        <v>0</v>
      </c>
    </row>
    <row r="89" spans="1:3" ht="26.4" hidden="1" x14ac:dyDescent="0.25">
      <c r="A89" s="345" t="str">
        <f>'[2]1b. Rater Field Checklist'!C40</f>
        <v>Walls: At exterior vertical surface of wall insulation in all climate zones; also at interior vertical surface of wall insulation in Climate Zones 4-8. 13</v>
      </c>
      <c r="B89" s="343">
        <f>'[2]1b. Rater Field Checklist'!D40</f>
        <v>0</v>
      </c>
      <c r="C89" s="345">
        <f>'[2]1b. Rater Field Checklist'!M40</f>
        <v>0</v>
      </c>
    </row>
    <row r="90" spans="1:3" hidden="1" x14ac:dyDescent="0.25">
      <c r="A90" s="345" t="str">
        <f>'[2]1b. Rater Field Checklist'!C42</f>
        <v>2.2 Walls behind showers, tubs, staircases, and fireplaces.</v>
      </c>
      <c r="B90" s="343">
        <f>'[2]1b. Rater Field Checklist'!D42</f>
        <v>0</v>
      </c>
      <c r="C90" s="345">
        <f>'[2]1b. Rater Field Checklist'!M42</f>
        <v>0</v>
      </c>
    </row>
    <row r="91" spans="1:3" hidden="1" x14ac:dyDescent="0.25">
      <c r="A91" s="345" t="str">
        <f>'[2]1b. Rater Field Checklist'!C43</f>
        <v>2.3 Architectural bump-outs, dead space, and all other exterior walls.</v>
      </c>
      <c r="B91" s="343">
        <f>'[2]1b. Rater Field Checklist'!D43</f>
        <v>0</v>
      </c>
      <c r="C91" s="345">
        <f>'[2]1b. Rater Field Checklist'!M43</f>
        <v>0</v>
      </c>
    </row>
    <row r="92" spans="1:3" ht="39.6" hidden="1" x14ac:dyDescent="0.25">
      <c r="A92" s="345" t="str">
        <f>'[2]1b. Rater Field Checklist'!C44</f>
        <v>Floors: At exterior vertical surface of floor insulation in all climate zones and, if over unconditioned space, also at interior horizontal surface including supports to ensure alignment. Alternatives in Footnotes 15 &amp; 16. 14, 15, 16</v>
      </c>
      <c r="B92" s="343">
        <f>'[2]1b. Rater Field Checklist'!D44</f>
        <v>0</v>
      </c>
      <c r="C92" s="345">
        <f>'[2]1b. Rater Field Checklist'!M44</f>
        <v>0</v>
      </c>
    </row>
    <row r="93" spans="1:3" hidden="1" x14ac:dyDescent="0.25">
      <c r="A93" s="345" t="str">
        <f>'[2]1b. Rater Field Checklist'!C48</f>
        <v>2.4 Floors above garages, floors above unconditioned spaces, and cantilevered floors.</v>
      </c>
      <c r="B93" s="343">
        <f>'[2]1b. Rater Field Checklist'!D48</f>
        <v>0</v>
      </c>
      <c r="C93" s="345">
        <f>'[2]1b. Rater Field Checklist'!M48</f>
        <v>0</v>
      </c>
    </row>
    <row r="94" spans="1:3" hidden="1" x14ac:dyDescent="0.25">
      <c r="A94" s="345" t="str">
        <f>'[2]1b. Rater Field Checklist'!C49</f>
        <v>2.5 All other floors adjoining unconditioned space (e.g., rim / band joists at exterior wall or at porch roof).</v>
      </c>
      <c r="B94" s="343">
        <f>'[2]1b. Rater Field Checklist'!D49</f>
        <v>0</v>
      </c>
      <c r="C94" s="345">
        <f>'[2]1b. Rater Field Checklist'!M49</f>
        <v>0</v>
      </c>
    </row>
    <row r="95" spans="1:3" hidden="1" x14ac:dyDescent="0.25">
      <c r="A95" s="345" t="str">
        <f>'[2]1b. Rater Field Checklist'!C50</f>
        <v>3. Reduced Thermal Bridging</v>
      </c>
      <c r="B95" s="343">
        <f>'[2]1b. Rater Field Checklist'!D50</f>
        <v>0</v>
      </c>
      <c r="C95" s="345">
        <f>'[2]1b. Rater Field Checklist'!M50</f>
        <v>0</v>
      </c>
    </row>
    <row r="96" spans="1:3" ht="26.4" hidden="1" x14ac:dyDescent="0.25">
      <c r="A96" s="345" t="str">
        <f>'[2]1b. Rater Field Checklist'!C51</f>
        <v>3.1 For insulated ceilings with attic space above (i.e., non-cathedralized), Grade I insulation extends to the inside face of the exterior wall below and is ≥ R-21 in CZ 1-5; ≥ R-30 in CZ 6-8. 17</v>
      </c>
      <c r="B96" s="343">
        <f>'[2]1b. Rater Field Checklist'!D51</f>
        <v>0</v>
      </c>
      <c r="C96" s="345">
        <f>'[2]1b. Rater Field Checklist'!M51</f>
        <v>0</v>
      </c>
    </row>
    <row r="97" spans="1:3" ht="26.4" hidden="1" x14ac:dyDescent="0.25">
      <c r="A97" s="345" t="str">
        <f>'[2]1b. Rater Field Checklist'!C53</f>
        <v>3.2 For insulated ceilings with attic space above, attic access panels and drop-down stairs insulated ≥ R-10 or equipped with durable ≥ R-10 cover. 18</v>
      </c>
      <c r="B97" s="343">
        <f>'[2]1b. Rater Field Checklist'!D53</f>
        <v>0</v>
      </c>
      <c r="C97" s="345">
        <f>'[2]1b. Rater Field Checklist'!$M$53</f>
        <v>0</v>
      </c>
    </row>
    <row r="98" spans="1:3" ht="26.4" hidden="1" x14ac:dyDescent="0.25">
      <c r="A98" s="345" t="str">
        <f>'[2]1b. Rater Field Checklist'!C55</f>
        <v>3.3 Insulation beneath attic platforms (e.g., HVAC platforms, walkways) ≥ R-21 in CZ 1-5; ≥ R-30 in CZ 6-8.</v>
      </c>
      <c r="B98" s="343">
        <f>'[2]1b. Rater Field Checklist'!D55</f>
        <v>0</v>
      </c>
      <c r="C98" s="345">
        <f>'[2]1b. Rater Field Checklist'!M55</f>
        <v>0</v>
      </c>
    </row>
    <row r="99" spans="1:3" ht="26.4" hidden="1" x14ac:dyDescent="0.25">
      <c r="A99" s="345" t="str">
        <f>'[2]1b. Rater Field Checklist'!C56</f>
        <v>3.4 For slabs on grade in CZ 4-8, 100% of slab edge insulated to ≥ R-5 at the depth specified by Table 502.2(1) of the 2009 IECC and aligned with the thermal boundary of the walls. 19, 20</v>
      </c>
      <c r="B99" s="343">
        <f>'[2]1b. Rater Field Checklist'!D56</f>
        <v>0</v>
      </c>
      <c r="C99" s="345">
        <f>'[2]1b. Rater Field Checklist'!M56</f>
        <v>0</v>
      </c>
    </row>
    <row r="100" spans="1:3" ht="39.6" hidden="1" x14ac:dyDescent="0.25">
      <c r="A100" s="345" t="str">
        <f>'[2]1b. Rater Field Checklist'!C59</f>
        <v>3.5 For elevated concrete slabs in CZ 4-8 (i.e., podiums and projected balconies, but not intermediate slab floor edges) 100% of the slab edge insulated to ≥ R-5. For podiums, insulation must be installed for the full height of the podium wall. Alternatives in Footnote 21. 21</v>
      </c>
      <c r="B100" s="343">
        <f>'[2]1b. Rater Field Checklist'!D59</f>
        <v>0</v>
      </c>
      <c r="C100" s="345">
        <f>'[2]1b. Rater Field Checklist'!$M$59</f>
        <v>0</v>
      </c>
    </row>
    <row r="101" spans="1:3" ht="39.6" hidden="1" x14ac:dyDescent="0.25">
      <c r="A101" s="345" t="str">
        <f>'[2]1b. Rater Field Checklist'!C61</f>
        <v>3.6 For elevated concrete slabs in CZ 4-8 (i.e., podiums, but not intermediate floor slabs), floor insulation meets the U-factor specified in Table 502.1.2 of the 2009 IECC for Group R when dwelling units are above the slab, and for ‘All Other’ when common space is above the slab. 22</v>
      </c>
      <c r="B101" s="343">
        <f>'[2]1b. Rater Field Checklist'!D61</f>
        <v>0</v>
      </c>
      <c r="C101" s="345">
        <f>'[2]1b. Rater Field Checklist'!$M$61</f>
        <v>0</v>
      </c>
    </row>
    <row r="102" spans="1:3" ht="26.4" hidden="1" x14ac:dyDescent="0.25">
      <c r="A102" s="345" t="str">
        <f>'[2]1b. Rater Field Checklist'!C63</f>
        <v>3.7 At above-grade walls and rim / band joists separating conditioned from unconditioned space, one of the following options used: 23, 26</v>
      </c>
      <c r="B102" s="343">
        <f>'[2]1b. Rater Field Checklist'!D63</f>
        <v>0</v>
      </c>
      <c r="C102" s="345">
        <f>'[2]1b. Rater Field Checklist'!$M$63</f>
        <v>0</v>
      </c>
    </row>
    <row r="103" spans="1:3" ht="26.4" hidden="1" x14ac:dyDescent="0.25">
      <c r="A103" s="345" t="str">
        <f>'[2]1b. Rater Field Checklist'!C66</f>
        <v xml:space="preserve"> 3.7.1 Continuous rigid insulation, insulated siding, or combination of the two is ≥ R-3 in CZ 1-4; ≥ R-5 in CZ 5-8 24, 25, 26, 27; OR;</v>
      </c>
      <c r="B103" s="343">
        <f>'[2]1b. Rater Field Checklist'!D66</f>
        <v>0</v>
      </c>
      <c r="C103" s="345">
        <f>'[2]1b. Rater Field Checklist'!$M$66</f>
        <v>0</v>
      </c>
    </row>
    <row r="104" spans="1:3" hidden="1" x14ac:dyDescent="0.25">
      <c r="A104" s="345" t="str">
        <f>'[2]1b. Rater Field Checklist'!C71</f>
        <v xml:space="preserve"> 3.7.2 Structural Insulated Panels OR; Insulated Concrete Forms OR; Double-wall framing OR; 24, 26, 28</v>
      </c>
      <c r="B104" s="343">
        <f>'[2]1b. Rater Field Checklist'!D71</f>
        <v>0</v>
      </c>
      <c r="C104" s="345">
        <f>'[2]1b. Rater Field Checklist'!$M$71</f>
        <v>0</v>
      </c>
    </row>
    <row r="105" spans="1:3" ht="26.4" hidden="1" x14ac:dyDescent="0.25">
      <c r="A105" s="345" t="str">
        <f>'[2]1b. Rater Field Checklist'!C75</f>
        <v xml:space="preserve"> 3.7.3 Option only for wood-framed walls either in CZ 1-3 OR ≤ 3 stories: ‘advanced framing’ details including all of the Items below: 26, 29</v>
      </c>
      <c r="B105" s="343">
        <f>'[2]1b. Rater Field Checklist'!D75</f>
        <v>0</v>
      </c>
      <c r="C105" s="345">
        <f>'[2]1b. Rater Field Checklist'!$M$75</f>
        <v>0</v>
      </c>
    </row>
    <row r="106" spans="1:3" hidden="1" x14ac:dyDescent="0.25">
      <c r="A106" s="345" t="str">
        <f>'[2]1b. Rater Field Checklist'!C78</f>
        <v xml:space="preserve">  3.7.3a Corners insulated ≥ R-6 to edge, 30 AND;</v>
      </c>
      <c r="B106" s="343">
        <f>'[2]1b. Rater Field Checklist'!D78</f>
        <v>0</v>
      </c>
      <c r="C106" s="345">
        <f>'[2]1b. Rater Field Checklist'!$M$78</f>
        <v>0</v>
      </c>
    </row>
    <row r="107" spans="1:3" ht="26.4" hidden="1" x14ac:dyDescent="0.25">
      <c r="A107" s="345" t="str">
        <f>'[2]1b. Rater Field Checklist'!C80</f>
        <v xml:space="preserve">  3.7.3b Headers above windows &amp; doors insulated ≥ R-3 for 2x4 framing or equivalent cavity width, and ≥ R-5 for all other assemblies (e.g., with 2x6 framing), 31 AND;</v>
      </c>
      <c r="B107" s="343">
        <f>'[2]1b. Rater Field Checklist'!D80</f>
        <v>0</v>
      </c>
      <c r="C107" s="345">
        <f>'[2]1b. Rater Field Checklist'!$M$80</f>
        <v>0</v>
      </c>
    </row>
    <row r="108" spans="1:3" hidden="1" x14ac:dyDescent="0.25">
      <c r="A108" s="345" t="str">
        <f>'[2]1b. Rater Field Checklist'!C82</f>
        <v xml:space="preserve">  3.7.3c Interior / exterior wall intersections insulated to same R-value as rest of exterior wall. 32</v>
      </c>
      <c r="B108" s="343">
        <f>'[2]1b. Rater Field Checklist'!D82</f>
        <v>0</v>
      </c>
      <c r="C108" s="345">
        <f>'[2]1b. Rater Field Checklist'!$M$82</f>
        <v>0</v>
      </c>
    </row>
    <row r="109" spans="1:3" ht="26.4" hidden="1" x14ac:dyDescent="0.25">
      <c r="A109" s="345" t="str">
        <f>'[2]1b. Rater Field Checklist'!C84</f>
        <v>4. Air Sealing (Unless otherwise noted below, “sealed” indicates the use of caulk, foam, or equivalent material.)</v>
      </c>
      <c r="B109" s="343">
        <f>'[2]1b. Rater Field Checklist'!D84</f>
        <v>0</v>
      </c>
      <c r="C109" s="345">
        <f>'[2]1b. Rater Field Checklist'!M84</f>
        <v>0</v>
      </c>
    </row>
    <row r="110" spans="1:3" ht="26.4" hidden="1" x14ac:dyDescent="0.25">
      <c r="A110" s="345" t="str">
        <f>'[2]1b. Rater Field Checklist'!C85</f>
        <v>4.1 Ducts, flues, shafts, plumbing, piping, wiring, exhaust fans, &amp; other penetrations to unconditioned space sealed, with blocking / flashing as needed.</v>
      </c>
      <c r="B110" s="343">
        <f>'[2]1b. Rater Field Checklist'!D85</f>
        <v>0</v>
      </c>
      <c r="C110" s="345">
        <f>'[2]1b. Rater Field Checklist'!M85</f>
        <v>0</v>
      </c>
    </row>
    <row r="111" spans="1:3" ht="26.4" hidden="1" x14ac:dyDescent="0.25">
      <c r="A111" s="345" t="str">
        <f>'[2]1b. Rater Field Checklist'!C86</f>
        <v>4.2 Recessed lighting fixtures adjacent to unconditioned space ICAT labeled and gasketed. Also, if in insulated ceiling without attic above, exterior surface of fixture insulated to ≥ R-10 in CZ 4-8.</v>
      </c>
      <c r="B111" s="343">
        <f>'[2]1b. Rater Field Checklist'!D86</f>
        <v>0</v>
      </c>
      <c r="C111" s="345">
        <f>'[2]1b. Rater Field Checklist'!M86</f>
        <v>0</v>
      </c>
    </row>
    <row r="112" spans="1:3" ht="26.4" hidden="1" x14ac:dyDescent="0.25">
      <c r="A112" s="345" t="str">
        <f>'[2]1b. Rater Field Checklist'!C87</f>
        <v>4.3 Continuous top plate or blocking is at top of walls adjoining unconditioned space including at balloon-framed parapets, and sealed.</v>
      </c>
      <c r="B112" s="343">
        <f>'[2]1b. Rater Field Checklist'!D87</f>
        <v>0</v>
      </c>
      <c r="C112" s="345">
        <f>'[2]1b. Rater Field Checklist'!M87</f>
        <v>0</v>
      </c>
    </row>
    <row r="113" spans="1:3" ht="39.6" hidden="1" x14ac:dyDescent="0.25">
      <c r="A113" s="345" t="str">
        <f>'[2]1b. Rater Field Checklist'!C88</f>
        <v>4.4 Drywall sealed to top plate at all unconditioned attic / wall interfaces using caulk, foam, drywall adhesive (but not other construction adhesives), or equivalent material. Either apply sealant directly between drywall and top plate or to the seam between the two from the attic above.</v>
      </c>
      <c r="B113" s="343">
        <f>'[2]1b. Rater Field Checklist'!D88</f>
        <v>0</v>
      </c>
      <c r="C113" s="345">
        <f>'[2]1b. Rater Field Checklist'!M88</f>
        <v>0</v>
      </c>
    </row>
    <row r="114" spans="1:3" hidden="1" x14ac:dyDescent="0.25">
      <c r="A114" s="345" t="str">
        <f>'[2]1b. Rater Field Checklist'!C89</f>
        <v>4.5 Rough opening around windows &amp; exterior doors sealed. 33</v>
      </c>
      <c r="B114" s="343">
        <f>'[2]1b. Rater Field Checklist'!D89</f>
        <v>0</v>
      </c>
      <c r="C114" s="345">
        <f>'[2]1b. Rater Field Checklist'!M89</f>
        <v>0</v>
      </c>
    </row>
    <row r="115" spans="1:3" ht="26.4" hidden="1" x14ac:dyDescent="0.25">
      <c r="A115" s="345" t="str">
        <f>'[2]1b. Rater Field Checklist'!C91</f>
        <v>4.6 Assemblies that separate attached garages from occupiable space sealed and, also, an air barrier installed, sealed, and aligned with these assemblies. 34</v>
      </c>
      <c r="B115" s="343">
        <f>'[2]1b. Rater Field Checklist'!D91</f>
        <v>0</v>
      </c>
      <c r="C115" s="345">
        <f>'[2]1b. Rater Field Checklist'!$M$91</f>
        <v>0</v>
      </c>
    </row>
    <row r="116" spans="1:3" ht="26.4" hidden="1" x14ac:dyDescent="0.25">
      <c r="A116" s="345" t="str">
        <f>'[2]1b. Rater Field Checklist'!C93</f>
        <v>4.7 Doors adjacent to unconditioned space (e.g., attics, garages, basements) or ambient conditions made substantially air-tight with doorsweep and weatherstripping or equivalent gasket.</v>
      </c>
      <c r="B116" s="343">
        <f>'[2]1b. Rater Field Checklist'!D93</f>
        <v>0</v>
      </c>
      <c r="C116" s="345">
        <f>'[2]1b. Rater Field Checklist'!M93</f>
        <v>0</v>
      </c>
    </row>
    <row r="117" spans="1:3" ht="26.4" hidden="1" x14ac:dyDescent="0.25">
      <c r="A117" s="345" t="str">
        <f>'[2]1b. Rater Field Checklist'!C94</f>
        <v>4.8 Attic access panels, roof hatches and drop-down stairs are gasketed (i.e., not caulked) or equipped with durable covers that are gasketed. 18</v>
      </c>
      <c r="B117" s="343">
        <f>'[2]1b. Rater Field Checklist'!D94</f>
        <v>0</v>
      </c>
      <c r="C117" s="345">
        <f>'[2]1b. Rater Field Checklist'!M94</f>
        <v>0</v>
      </c>
    </row>
    <row r="118" spans="1:3" ht="26.4" hidden="1" x14ac:dyDescent="0.25">
      <c r="A118" s="345" t="str">
        <f>'[2]1b. Rater Field Checklist'!C96</f>
        <v>The following items must be additionally verified in dwelling units, to reduce air leakage between conditioned spaces.</v>
      </c>
      <c r="B118" s="343">
        <f>'[2]1b. Rater Field Checklist'!D96</f>
        <v>0</v>
      </c>
      <c r="C118" s="345">
        <f>'[2]1b. Rater Field Checklist'!M96</f>
        <v>0</v>
      </c>
    </row>
    <row r="119" spans="1:3" ht="26.4" hidden="1" x14ac:dyDescent="0.25">
      <c r="A119" s="345" t="str">
        <f>'[2]1b. Rater Field Checklist'!C97</f>
        <v>4.9 Doors serving as a unit entrance from a corridor / stairwell made substantially air-tight with doorsweep and weatherstripping or equivalent gasket.</v>
      </c>
      <c r="B119" s="343">
        <f>'[2]1b. Rater Field Checklist'!D97</f>
        <v>0</v>
      </c>
      <c r="C119" s="345">
        <f>'[2]1b. Rater Field Checklist'!M97</f>
        <v>0</v>
      </c>
    </row>
    <row r="120" spans="1:3" ht="26.4" hidden="1" x14ac:dyDescent="0.25">
      <c r="A120" s="345" t="str">
        <f>'[2]1b. Rater Field Checklist'!C98</f>
        <v>4.10 Rater-measured compartmentalization is no greater than 0.30 CFM50 per square feet of dwelling unit enclosure area, following procedures in ANSI / RESNET / ICC Std. 380. 35</v>
      </c>
      <c r="B120" s="343">
        <f>'[2]1b. Rater Field Checklist'!D98</f>
        <v>0</v>
      </c>
      <c r="C120" s="345">
        <f>'[2]1b. Rater Field Checklist'!M98</f>
        <v>0</v>
      </c>
    </row>
    <row r="121" spans="1:3" ht="52.8" hidden="1" x14ac:dyDescent="0.25">
      <c r="A121" s="345" t="str">
        <f>'[2]1b. Rater Field Checklist'!C100</f>
        <v xml:space="preserve"> 4.10.1 For dwelling units with forced air distribution systems without ducted returns and located in a closet adjacent to unconditioned space, the Rater-measured pressure difference between the space containing the air handler and the conditioned space during the compartmentalization test is no greater than 5 Pa. 36</v>
      </c>
      <c r="B121" s="343">
        <f>'[2]1b. Rater Field Checklist'!D100</f>
        <v>0</v>
      </c>
      <c r="C121" s="345">
        <f>'[2]1b. Rater Field Checklist'!$M$100</f>
        <v>0</v>
      </c>
    </row>
    <row r="122" spans="1:3" hidden="1" x14ac:dyDescent="0.25">
      <c r="A122" s="345" t="str">
        <f>'[2]1b. Rater Field Checklist'!C102</f>
        <v>HVAC System 37 (HVAC Design Report Item # indicated in parenthesis) </v>
      </c>
      <c r="B122" s="343">
        <f>'[2]1b. Rater Field Checklist'!D102</f>
        <v>0</v>
      </c>
      <c r="C122" s="345">
        <f>'[2]1b. Rater Field Checklist'!$M$102</f>
        <v>0</v>
      </c>
    </row>
    <row r="123" spans="1:3" ht="26.4" hidden="1" x14ac:dyDescent="0.25">
      <c r="A123" s="345" t="str">
        <f>'[2]1b. Rater Field Checklist'!C104</f>
        <v>5. Heating &amp; Cooling Equipment – Complete Path A -Dwelling Unit HVAC Grading OR Path B – Dwelling Unit HVAC Commissioning 38</v>
      </c>
      <c r="B123" s="343">
        <f>'[2]1b. Rater Field Checklist'!D104</f>
        <v>0</v>
      </c>
      <c r="C123" s="345">
        <f>'[2]1b. Rater Field Checklist'!$M$104</f>
        <v>0</v>
      </c>
    </row>
    <row r="124" spans="1:3" hidden="1" x14ac:dyDescent="0.25">
      <c r="A124" s="345" t="str">
        <f>'[2]1b. Rater Field Checklist'!C106</f>
        <v>Path A 39</v>
      </c>
      <c r="B124" s="343">
        <f>'[2]1b. Rater Field Checklist'!D106</f>
        <v>0</v>
      </c>
      <c r="C124" s="345">
        <f>'[2]1b. Rater Field Checklist'!$M$106</f>
        <v>0</v>
      </c>
    </row>
    <row r="125" spans="1:3" hidden="1" x14ac:dyDescent="0.25">
      <c r="A125" s="345" t="str">
        <f>'[2]1b. Rater Field Checklist'!C108</f>
        <v>5a.1 Blower fan volumetric airflow is Grade I or II per ANSI / RESNET / ACCA Std. 310</v>
      </c>
      <c r="B125" s="343">
        <f>'[2]1b. Rater Field Checklist'!D108</f>
        <v>0</v>
      </c>
      <c r="C125" s="345">
        <f>'[2]1b. Rater Field Checklist'!M108</f>
        <v>0</v>
      </c>
    </row>
    <row r="126" spans="1:3" hidden="1" x14ac:dyDescent="0.25">
      <c r="A126" s="345" t="str">
        <f>'[2]1b. Rater Field Checklist'!C109</f>
        <v>5a.2 Blower fan watt draw is Grade I or II per ANSI / RESNET / ACCA Std. 310</v>
      </c>
      <c r="B126" s="343">
        <f>'[2]1b. Rater Field Checklist'!D109</f>
        <v>0</v>
      </c>
      <c r="C126" s="345">
        <f>'[2]1b. Rater Field Checklist'!M109</f>
        <v>0</v>
      </c>
    </row>
    <row r="127" spans="1:3" ht="26.4" hidden="1" x14ac:dyDescent="0.25">
      <c r="A127" s="345" t="str">
        <f>'[2]1b. Rater Field Checklist'!C110</f>
        <v>5a.3 Refrigerant charge is Grade I per ANSI / RESNET / ACCA Std. 310. See Footnote 40 for exemptions. 40</v>
      </c>
      <c r="B127" s="343">
        <f>'[2]1b. Rater Field Checklist'!D110</f>
        <v>0</v>
      </c>
      <c r="C127" s="345">
        <f>'[2]1b. Rater Field Checklist'!M110</f>
        <v>0</v>
      </c>
    </row>
    <row r="128" spans="1:3" hidden="1" x14ac:dyDescent="0.25">
      <c r="A128" s="345" t="str">
        <f>'[2]1b. Rater Field Checklist'!C112</f>
        <v>Path B</v>
      </c>
      <c r="B128" s="343">
        <f>'[2]1b. Rater Field Checklist'!D112</f>
        <v>0</v>
      </c>
      <c r="C128" s="345">
        <f>'[2]1b. Rater Field Checklist'!M112</f>
        <v>0</v>
      </c>
    </row>
    <row r="129" spans="1:3" ht="52.8" hidden="1" x14ac:dyDescent="0.25">
      <c r="A129" s="345" t="str">
        <f>'[2]1b. Rater Field Checklist'!C113</f>
        <v>5b.1 HVAC manufacturer &amp; model number on installed equipment matches either of the following (check box): 41
 National HVAC Design Report (4.6-4.9 &amp; 4.25-4.26)      Written approval received from designer</v>
      </c>
      <c r="B129" s="343">
        <f>'[2]1b. Rater Field Checklist'!D113</f>
        <v>0</v>
      </c>
      <c r="C129" s="345">
        <f>'[2]1b. Rater Field Checklist'!M113</f>
        <v>0</v>
      </c>
    </row>
    <row r="130" spans="1:3" ht="66" hidden="1" x14ac:dyDescent="0.25">
      <c r="A130" s="345" t="str">
        <f>'[2]1b. Rater Field Checklist'!C115</f>
        <v>5b.2 External static pressure measured by Rater at contractor-provided test locations and documented below: 42
Return-Side External Static Pressure: ________IWC
Supply-Side External Static Pressure: __________IWC</v>
      </c>
      <c r="B130" s="343">
        <f>'[2]1b. Rater Field Checklist'!D115</f>
        <v>0</v>
      </c>
      <c r="C130" s="345">
        <f>'[2]1b. Rater Field Checklist'!$M$115</f>
        <v>0</v>
      </c>
    </row>
    <row r="131" spans="1:3" ht="26.4" hidden="1" x14ac:dyDescent="0.25">
      <c r="A131" s="345" t="str">
        <f>'[2]1b. Rater Field Checklist'!C117</f>
        <v>5.4 Prescriptive Path: Heating and cooling equipment serving dwelling units and common spaces meet the efficiency levels specified in the Exhibit X. Electric resistance heating is not installed in dwelling units.</v>
      </c>
      <c r="B131" s="343">
        <f>'[2]1b. Rater Field Checklist'!D117</f>
        <v>0</v>
      </c>
      <c r="C131" s="345">
        <f>'[2]1b. Rater Field Checklist'!M117</f>
        <v>0</v>
      </c>
    </row>
    <row r="132" spans="1:3" ht="39.6" hidden="1" x14ac:dyDescent="0.25">
      <c r="A132" s="345" t="str">
        <f>'[2]1b. Rater Field Checklist'!C118</f>
        <v>5.5 ERI Path: Heating and cooling equipment serving common spaces, but not serving dwelling units, meet the efficiency levels specified in the Exhibit X. See Exhibit X for restrictions on electric resistance heating.</v>
      </c>
      <c r="B132" s="343">
        <f>'[2]1b. Rater Field Checklist'!D118</f>
        <v>0</v>
      </c>
      <c r="C132" s="345">
        <f>'[2]1b. Rater Field Checklist'!M118</f>
        <v>0</v>
      </c>
    </row>
    <row r="133" spans="1:3" ht="52.8" hidden="1" x14ac:dyDescent="0.25">
      <c r="A133" s="345" t="str">
        <f>'[2]1b. Rater Field Checklist'!C119</f>
        <v>5.6 National HVAC Functional Testing Checklist(s) collected prior to certification, with all HVAC systems in the building / project fully documented. Exception: Where credentialed HVAC Contractor(s) are completing the National HVAC Functional Testing Checklist, the checklist is not required to be collected for the systems they verify. 43</v>
      </c>
      <c r="B133" s="343">
        <f>'[2]1b. Rater Field Checklist'!D119</f>
        <v>0</v>
      </c>
      <c r="C133" s="345">
        <f>'[2]1b. Rater Field Checklist'!M119</f>
        <v>0</v>
      </c>
    </row>
    <row r="134" spans="1:3" ht="66" hidden="1" x14ac:dyDescent="0.25">
      <c r="A134" s="345" t="str">
        <f>'[2]1b. Rater Field Checklist'!C121</f>
        <v>5.7 Rater has verified that Functional Testing Agent(s) (“FT Agent(s)”) completing the National HVAC Functional Testing Checklist(s), hold(s) one of the required credentials and are listed on the appropriate online directory. 43
Credential: ______________________ “FT Agent” Company Name(s): _______________________</v>
      </c>
      <c r="B134" s="343">
        <f>'[2]1b. Rater Field Checklist'!D121</f>
        <v>0</v>
      </c>
      <c r="C134" s="345">
        <f>'[2]1b. Rater Field Checklist'!$M$121</f>
        <v>0</v>
      </c>
    </row>
    <row r="135" spans="1:3" hidden="1" x14ac:dyDescent="0.25">
      <c r="A135" s="345" t="str">
        <f>'[2]1b. Rater Field Checklist'!C123</f>
        <v>Equipment Controls </v>
      </c>
      <c r="B135" s="343">
        <f>'[2]1b. Rater Field Checklist'!D123</f>
        <v>0</v>
      </c>
      <c r="C135" s="345">
        <f>'[2]1b. Rater Field Checklist'!M123</f>
        <v>0</v>
      </c>
    </row>
    <row r="136" spans="1:3" ht="26.4" hidden="1" x14ac:dyDescent="0.25">
      <c r="A136" s="345" t="str">
        <f>'[2]1b. Rater Field Checklist'!C124</f>
        <v>5.8 All heating and cooling systems serving a dwelling unit have thermostatic controls within the dwelling unit which are not located on exterior walls.</v>
      </c>
      <c r="B136" s="343">
        <f>'[2]1b. Rater Field Checklist'!D124</f>
        <v>0</v>
      </c>
      <c r="C136" s="345">
        <f>'[2]1b. Rater Field Checklist'!M124</f>
        <v>0</v>
      </c>
    </row>
    <row r="137" spans="1:3" hidden="1" x14ac:dyDescent="0.25">
      <c r="A137" s="345" t="str">
        <f>'[2]1b. Rater Field Checklist'!C125</f>
        <v xml:space="preserve"> 5.8.1 Prescriptive Path: Dwelling unit thermostats are programmable.</v>
      </c>
      <c r="B137" s="343">
        <f>'[2]1b. Rater Field Checklist'!D125</f>
        <v>0</v>
      </c>
      <c r="C137" s="345">
        <f>'[2]1b. Rater Field Checklist'!M125</f>
        <v>0</v>
      </c>
    </row>
    <row r="138" spans="1:3" ht="39.6" hidden="1" x14ac:dyDescent="0.25">
      <c r="A138" s="345" t="str">
        <f>'[2]1b. Rater Field Checklist'!C126</f>
        <v>5.9 Stair and elevator shaft vents equipped with motorized dampers that are capable of being automatically closed during normal building operation and are interlocked to open as required by fire and smoke detection systems. Dampers are verified to be closed at the time of inspection.</v>
      </c>
      <c r="B138" s="343">
        <f>'[2]1b. Rater Field Checklist'!D126</f>
        <v>0</v>
      </c>
      <c r="C138" s="345">
        <f>'[2]1b. Rater Field Checklist'!M126</f>
        <v>0</v>
      </c>
    </row>
    <row r="139" spans="1:3" ht="39.6" hidden="1" x14ac:dyDescent="0.25">
      <c r="A139" s="345" t="str">
        <f>'[2]1b. Rater Field Checklist'!C127</f>
        <v>5.10 Freeze protection systems, such as heat tracing of piping and heat exchangers, including self-regulating heat tracing, and garage / plenum heaters include automatic controls that are verified to shut off the systems when pipe wall or garage / plenum temperatures are above 40°F.</v>
      </c>
      <c r="B139" s="343">
        <f>'[2]1b. Rater Field Checklist'!D127</f>
        <v>0</v>
      </c>
      <c r="C139" s="345">
        <f>'[2]1b. Rater Field Checklist'!M127</f>
        <v>0</v>
      </c>
    </row>
    <row r="140" spans="1:3" ht="26.4" hidden="1" x14ac:dyDescent="0.25">
      <c r="A140" s="345" t="str">
        <f>'[2]1b. Rater Field Checklist'!C128</f>
        <v xml:space="preserve"> 5.10.1 Where heat tracing is installed for freeze-protection, controls must be based on pipe wall temperature and a minimum of R-3 pipe insulation is also required.</v>
      </c>
      <c r="B140" s="343">
        <f>'[2]1b. Rater Field Checklist'!D128</f>
        <v>0</v>
      </c>
      <c r="C140" s="345">
        <f>'[2]1b. Rater Field Checklist'!M128</f>
        <v>0</v>
      </c>
    </row>
    <row r="141" spans="1:3" ht="52.8" hidden="1" x14ac:dyDescent="0.25">
      <c r="A141" s="345" t="str">
        <f>'[2]1b. Rater Field Checklist'!C129</f>
        <v>5.11 Snow- and ice-melting systems include automatic controls that are verified to shut off the systems when the pavement temperature is above 50°F and no precipitation is falling, and an automatic or manual control is installed that is verified to shut off system when the outdoor temperature is above 40°F, so that the potential for snow or ice accumulation is negligible.</v>
      </c>
      <c r="B141" s="343">
        <f>'[2]1b. Rater Field Checklist'!D129</f>
        <v>0</v>
      </c>
      <c r="C141" s="345">
        <f>'[2]1b. Rater Field Checklist'!M129</f>
        <v>0</v>
      </c>
    </row>
    <row r="142" spans="1:3" hidden="1" x14ac:dyDescent="0.25">
      <c r="A142" s="345" t="str">
        <f>'[2]1b. Rater Field Checklist'!C130</f>
        <v>Hydronic Distribution </v>
      </c>
      <c r="B142" s="343">
        <f>'[2]1b. Rater Field Checklist'!D130</f>
        <v>0</v>
      </c>
      <c r="C142" s="345">
        <f>'[2]1b. Rater Field Checklist'!M130</f>
        <v>0</v>
      </c>
    </row>
    <row r="143" spans="1:3" ht="52.8" hidden="1" x14ac:dyDescent="0.25">
      <c r="A143" s="345" t="str">
        <f>'[2]1b. Rater Field Checklist'!C131</f>
        <v>5.12 For hydronic distribution systems, all terminal heating and cooling distribution equipment are separated from the riser or distribution loop by a control valve or terminal distribution pump, so that heated or cooled fluid is not delivered to the dwelling unit distribution equipment when there is no call from the thermostat.</v>
      </c>
      <c r="B143" s="343">
        <f>'[2]1b. Rater Field Checklist'!D131</f>
        <v>0</v>
      </c>
      <c r="C143" s="345">
        <f>'[2]1b. Rater Field Checklist'!M131</f>
        <v>0</v>
      </c>
    </row>
    <row r="144" spans="1:3" ht="26.4" hidden="1" x14ac:dyDescent="0.25">
      <c r="A144" s="345" t="str">
        <f>'[2]1b. Rater Field Checklist'!C132</f>
        <v>5.13 Terminal units in hydronic distribution systems are equipped with pressure independent balancing valves or pressure independent control valves.</v>
      </c>
      <c r="B144" s="343">
        <f>'[2]1b. Rater Field Checklist'!D132</f>
        <v>0</v>
      </c>
      <c r="C144" s="345">
        <f>'[2]1b. Rater Field Checklist'!M132</f>
        <v>0</v>
      </c>
    </row>
    <row r="145" spans="1:3" ht="26.4" hidden="1" x14ac:dyDescent="0.25">
      <c r="A145" s="345" t="str">
        <f>'[2]1b. Rater Field Checklist'!C133</f>
        <v>5.14 Piping of a heating or cooling system is insulated in accordance with Item 4.40 on the National HVAC Design Report, including where passing through planks or any other penetrations.</v>
      </c>
      <c r="B145" s="343">
        <f>'[2]1b. Rater Field Checklist'!D133</f>
        <v>0</v>
      </c>
      <c r="C145" s="345">
        <f>'[2]1b. Rater Field Checklist'!M133</f>
        <v>0</v>
      </c>
    </row>
    <row r="146" spans="1:3" ht="39.6" hidden="1" x14ac:dyDescent="0.25">
      <c r="A146" s="345" t="str">
        <f>'[2]1b. Rater Field Checklist'!C134</f>
        <v>5.15 For circulating pumps serving hydronic heating or cooling systems with three-phase motors, 1 horsepower or larger, motors meet or exceed efficiency standards for NEMA Premium™ motors. If 5 horsepower or larger, also installed with variable frequency drives.</v>
      </c>
      <c r="B146" s="343">
        <f>'[2]1b. Rater Field Checklist'!D134</f>
        <v>0</v>
      </c>
      <c r="C146" s="345">
        <f>'[2]1b. Rater Field Checklist'!M134</f>
        <v>0</v>
      </c>
    </row>
    <row r="147" spans="1:3" ht="26.4" hidden="1" x14ac:dyDescent="0.25">
      <c r="A147" s="345" t="str">
        <f>'[2]1b. Rater Field Checklist'!C135</f>
        <v>6. Duct Quality Installation - Applies to Heating, Cooling, Ventilation, Exhaust, &amp; Pressure Balancing Ducts, Unless Noted in Footnote.</v>
      </c>
      <c r="B147" s="343">
        <f>'[2]1b. Rater Field Checklist'!D135</f>
        <v>0</v>
      </c>
      <c r="C147" s="345">
        <f>'[2]1b. Rater Field Checklist'!M135</f>
        <v>0</v>
      </c>
    </row>
    <row r="148" spans="1:3" ht="26.4" hidden="1" x14ac:dyDescent="0.25">
      <c r="A148" s="345" t="str">
        <f>'[2]1b. Rater Field Checklist'!C136</f>
        <v>6.1 Ductwork installed without kinks, sharp bends, compressions, or excessive coiled flexible ductwork. 45</v>
      </c>
      <c r="B148" s="343">
        <f>'[2]1b. Rater Field Checklist'!D136</f>
        <v>0</v>
      </c>
      <c r="C148" s="345">
        <f>'[2]1b. Rater Field Checklist'!M136</f>
        <v>0</v>
      </c>
    </row>
    <row r="149" spans="1:3" ht="52.8" hidden="1" x14ac:dyDescent="0.25">
      <c r="A149" s="345" t="str">
        <f>'[2]1b. Rater Field Checklist'!C138</f>
        <v>6.2 Bedrooms with a design supply airflow ≥ 150 CFM (per Item 5.2 on the National HVAC Design Report) pressure-balanced (e.g., using transfer grilles, jump ducts, dedicated return ducts, undercut doors) to achieve a Rater-measured pressure differential ≥ -5 Pa and ≤ +5 Pa with respect to the main body of the dwelling unit when all air handlers are operating. See Footnote 46 for test configuration. 46</v>
      </c>
      <c r="B149" s="343">
        <f>'[2]1b. Rater Field Checklist'!D138</f>
        <v>0</v>
      </c>
      <c r="C149" s="345">
        <f>'[2]1b. Rater Field Checklist'!$M$138</f>
        <v>0</v>
      </c>
    </row>
    <row r="150" spans="1:3" ht="26.4" hidden="1" x14ac:dyDescent="0.25">
      <c r="A150" s="345" t="str">
        <f>'[2]1b. Rater Field Checklist'!C140</f>
        <v>6.3 All supply and return ducts in unconditioned space, including connections to trunk ducts, are insulated to ≥ R-6. 47</v>
      </c>
      <c r="B150" s="343">
        <f>'[2]1b. Rater Field Checklist'!D140</f>
        <v>0</v>
      </c>
      <c r="C150" s="345">
        <f>'[2]1b. Rater Field Checklist'!$M$140</f>
        <v>0</v>
      </c>
    </row>
    <row r="151" spans="1:3" ht="26.4" hidden="1" x14ac:dyDescent="0.25">
      <c r="A151" s="345" t="str">
        <f>'[2]1b. Rater Field Checklist'!C142</f>
        <v xml:space="preserve"> 6.3.1 Prescriptive Path: Dwelling unit ductwork meets the location and insulation requirements specified in the ENERGY STAR Multifamily Reference Design.</v>
      </c>
      <c r="B151" s="343">
        <f>'[2]1b. Rater Field Checklist'!D142</f>
        <v>0</v>
      </c>
      <c r="C151" s="345">
        <f>'[2]1b. Rater Field Checklist'!M142</f>
        <v>0</v>
      </c>
    </row>
    <row r="152" spans="1:3" hidden="1" x14ac:dyDescent="0.25">
      <c r="A152" s="345" t="str">
        <f>'[2]1b. Rater Field Checklist'!C143</f>
        <v>6.4 Rater-measured total duct leakage in dwelling units meets one of the following two options: 48, 49</v>
      </c>
      <c r="B152" s="343">
        <f>'[2]1b. Rater Field Checklist'!D143</f>
        <v>0</v>
      </c>
      <c r="C152" s="345">
        <f>'[2]1b. Rater Field Checklist'!M143</f>
        <v>0</v>
      </c>
    </row>
    <row r="153" spans="1:3" ht="158.4" hidden="1" x14ac:dyDescent="0.25">
      <c r="A153" s="345" t="str">
        <f>'[2]1b. Rater Field Checklist'!C146</f>
        <v xml:space="preserve"> 6.4.1 Rough-in: Tested per allowances below, with air handler &amp; all ducts, building cavities used as ducts, &amp; duct boots installed. In addition, all duct boots sealed to finished surface, Rater-verified at final. 50
No ducted returns 36: The greater of ≤ 3 CFM25 per 100 sq. ft. of CFA or ≤ 30 CFM. Additionally, the Rater-measured pressure difference between the space containing the air handler and the conditioned space, with the air handler running at high speed, is ≤ 5 Pa. For systems &gt; 1 ton, increase by 1 Pa per half ton.
One or two ducted returns 36: The greater of ≤ 4 CFM25 per 100 sq. ft. of CFA or ≤ 40 CFM.
Three or more ducted returns 36 : The greater of ≤ 6 CFM25 per 100 sq. ft. of CFA or ≤ 60 CFM.</v>
      </c>
      <c r="B153" s="343">
        <f>'[2]1b. Rater Field Checklist'!D146</f>
        <v>0</v>
      </c>
      <c r="C153" s="345">
        <f>'[2]1b. Rater Field Checklist'!$M$146</f>
        <v>0</v>
      </c>
    </row>
    <row r="154" spans="1:3" ht="145.19999999999999" hidden="1" x14ac:dyDescent="0.25">
      <c r="A154" s="345" t="str">
        <f>'[2]1b. Rater Field Checklist'!C149</f>
        <v xml:space="preserve"> 6.4.2 Final: Tested per allowances below, with the air handler &amp; all ducts, building cavities used as ducts, duct boots, &amp; register grilles atop the finished surface (e.g., drywall, floor) installed. 51
No ducted returns 36: The greater of ≤ 6 CFM25 per 100 sq. ft. of CFA or ≤ 60 CFM. Additionally, the Rater-measured pressure difference between the space containing the air handler and the conditioned space, with the air handler running at high speed, is ≤ 5 Pa. For systems &gt; 1 ton, increase by 1 Pa per half ton.
One or two ducted returns 36: The greater of ≤ 8 CFM25 per 100 sq. ft. of CFA or ≤ 80 CFM.
Three or more ducted returns 36 : The greater of ≤ 12 CFM25 per 100 sq. ft. of CFA or ≤ 120 CFM.</v>
      </c>
      <c r="B154" s="343">
        <f>'[2]1b. Rater Field Checklist'!D149</f>
        <v>0</v>
      </c>
      <c r="C154" s="345">
        <f>'[2]1b. Rater Field Checklist'!$M$149</f>
        <v>0</v>
      </c>
    </row>
    <row r="155" spans="1:3" ht="26.4" hidden="1" x14ac:dyDescent="0.25">
      <c r="A155" s="345" t="str">
        <f>'[2]1b. Rater Field Checklist'!C152</f>
        <v>6.5 Townhouses only: Rater-measured duct leakage to the outside the greater of ≤ 4 CFM25 per 100 sq. ft. of CFA or ≤ 40 CFM25. 48, 52</v>
      </c>
      <c r="B155" s="343">
        <f>'[2]1b. Rater Field Checklist'!D152</f>
        <v>0</v>
      </c>
      <c r="C155" s="345">
        <f>'[2]1b. Rater Field Checklist'!$M$152</f>
        <v>0</v>
      </c>
    </row>
    <row r="156" spans="1:3" ht="26.4" hidden="1" x14ac:dyDescent="0.25">
      <c r="A156" s="345" t="str">
        <f>'[2]1b. Rater Field Checklist'!C155</f>
        <v>6.6 Common Space: Supply, return, and exhaust ductwork and all plenums are sealed at all transverse joints, longitudinal seams, and duct wall penetrations with mastic or mastic tape</v>
      </c>
      <c r="B156" s="343">
        <f>'[2]1b. Rater Field Checklist'!D155</f>
        <v>0</v>
      </c>
      <c r="C156" s="345">
        <f>'[2]1b. Rater Field Checklist'!M155</f>
        <v>0</v>
      </c>
    </row>
    <row r="157" spans="1:3" ht="26.4" hidden="1" x14ac:dyDescent="0.25">
      <c r="A157" s="345" t="str">
        <f>'[2]1b. Rater Field Checklist'!C156</f>
        <v>6.7 Duct leakage of central exhaust systems that serve four or more dwelling units, meets one of the following two options:</v>
      </c>
      <c r="B157" s="343">
        <f>'[2]1b. Rater Field Checklist'!D156</f>
        <v>0</v>
      </c>
      <c r="C157" s="345">
        <f>'[2]1b. Rater Field Checklist'!M156</f>
        <v>0</v>
      </c>
    </row>
    <row r="158" spans="1:3" ht="26.4" hidden="1" x14ac:dyDescent="0.25">
      <c r="A158" s="345" t="str">
        <f>'[2]1b. Rater Field Checklist'!C157</f>
        <v xml:space="preserve"> 6.7.1 Rough-in: Tested including horizontal run outs, trunks, branches, and take-offs up to, but not including, the grilles, the leakage does not exceed 25% of exhaust fan flow. 53</v>
      </c>
      <c r="B158" s="343">
        <f>'[2]1b. Rater Field Checklist'!D157</f>
        <v>0</v>
      </c>
      <c r="C158" s="345">
        <f>'[2]1b. Rater Field Checklist'!M157</f>
        <v>0</v>
      </c>
    </row>
    <row r="159" spans="1:3" ht="26.4" hidden="1" x14ac:dyDescent="0.25">
      <c r="A159" s="345" t="str">
        <f>'[2]1b. Rater Field Checklist'!C159</f>
        <v xml:space="preserve"> 6.7.2 Final: Tested inclusive of all ductwork between the fan and the grilles, the leakage does not exceed 30% of exhaust fan flow. 53</v>
      </c>
      <c r="B159" s="343">
        <f>'[2]1b. Rater Field Checklist'!D159</f>
        <v>0</v>
      </c>
      <c r="C159" s="345">
        <f>'[2]1b. Rater Field Checklist'!$M$159</f>
        <v>0</v>
      </c>
    </row>
    <row r="160" spans="1:3" hidden="1" x14ac:dyDescent="0.25">
      <c r="A160" s="345" t="str">
        <f>'[2]1b. Rater Field Checklist'!C161</f>
        <v>7. Dwelling-Unit &amp; Common Space Mechanical Ventilation System </v>
      </c>
      <c r="B160" s="343">
        <f>'[2]1b. Rater Field Checklist'!D161</f>
        <v>0</v>
      </c>
      <c r="C160" s="345">
        <f>'[2]1b. Rater Field Checklist'!M161</f>
        <v>0</v>
      </c>
    </row>
    <row r="161" spans="1:3" ht="52.8" hidden="1" x14ac:dyDescent="0.25">
      <c r="A161" s="345" t="str">
        <f>'[2]1b. Rater Field Checklist'!C162</f>
        <v>7.1 Ventilation manufacturer &amp; model number on installed equipment matches either of the following (check box): 41
 National HVAC Design Report           Written approval received from designer</v>
      </c>
      <c r="B161" s="343">
        <f>'[2]1b. Rater Field Checklist'!D162</f>
        <v>0</v>
      </c>
      <c r="C161" s="345">
        <f>'[2]1b. Rater Field Checklist'!M162</f>
        <v>0</v>
      </c>
    </row>
    <row r="162" spans="1:3" ht="26.4" hidden="1" x14ac:dyDescent="0.25">
      <c r="A162" s="345" t="str">
        <f>'[2]1b. Rater Field Checklist'!C164</f>
        <v>7.2 Rater-measured ventilation rate is within either ± 15 CFM or ± 15% of dwelling unit design values (2.7), and meets or exceeds rates required by ASHRAE 62.2-2010. 54</v>
      </c>
      <c r="B162" s="343">
        <f>'[2]1b. Rater Field Checklist'!D164</f>
        <v>0</v>
      </c>
      <c r="C162" s="345">
        <f>'[2]1b. Rater Field Checklist'!$M$164</f>
        <v>0</v>
      </c>
    </row>
    <row r="163" spans="1:3" ht="26.4" hidden="1" x14ac:dyDescent="0.25">
      <c r="A163" s="345" t="str">
        <f>'[2]1b. Rater Field Checklist'!C166</f>
        <v>7.3 Measured ventilation rate is within either ± 15 CFM or ± 15 % of common space design values (2.9), and meets or exceeds rates required by ASHRAE 62.1-2010 (2.8). 55</v>
      </c>
      <c r="B163" s="343">
        <f>'[2]1b. Rater Field Checklist'!D166</f>
        <v>0</v>
      </c>
      <c r="C163" s="345">
        <f>'[2]1b. Rater Field Checklist'!$M$166</f>
        <v>0</v>
      </c>
    </row>
    <row r="164" spans="1:3" ht="39.6" hidden="1" x14ac:dyDescent="0.25">
      <c r="A164" s="345" t="str">
        <f>'[2]1b. Rater Field Checklist'!C168</f>
        <v>7.4 Townhouses only: A readily-accessible ventilation override control installed and also labeled if its function is not obvious (e.g., a label is required for a standalone wall switch, but not for a switch that’s on the ventilation equipment).</v>
      </c>
      <c r="B164" s="343">
        <f>'[2]1b. Rater Field Checklist'!D168</f>
        <v>0</v>
      </c>
      <c r="C164" s="345">
        <f>'[2]1b. Rater Field Checklist'!M168</f>
        <v>0</v>
      </c>
    </row>
    <row r="165" spans="1:3" ht="39.6" hidden="1" x14ac:dyDescent="0.25">
      <c r="A165" s="345" t="str">
        <f>'[2]1b. Rater Field Checklist'!C169</f>
        <v>7.5 No outdoor air intakes connected to return side of the dwelling unit HVAC system, unless controls are installed to operate intermittently &amp; automatically based on a timer and to restrict intake when not in use (e.g., motorized damper).</v>
      </c>
      <c r="B165" s="343">
        <f>'[2]1b. Rater Field Checklist'!D169</f>
        <v>0</v>
      </c>
      <c r="C165" s="345">
        <f>'[2]1b. Rater Field Checklist'!M169</f>
        <v>0</v>
      </c>
    </row>
    <row r="166" spans="1:3" ht="26.4" hidden="1" x14ac:dyDescent="0.25">
      <c r="A166" s="345" t="str">
        <f>'[2]1b. Rater Field Checklist'!C170</f>
        <v>7.6 If located in the dwelling unit, system fan rated ≤ 3 sones if intermittent and ≤ 2 sone if continuous, or exempted. 56</v>
      </c>
      <c r="B166" s="343">
        <f>'[2]1b. Rater Field Checklist'!D170</f>
        <v>0</v>
      </c>
      <c r="C166" s="345">
        <f>'[2]1b. Rater Field Checklist'!M170</f>
        <v>0</v>
      </c>
    </row>
    <row r="167" spans="1:3" ht="39.6" hidden="1" x14ac:dyDescent="0.25">
      <c r="A167" s="345" t="str">
        <f>'[2]1b. Rater Field Checklist'!C172</f>
        <v>7.7 If system utilizes the dwelling unit HVAC fan, then the intalled fan type is ECM / ICM (4.12), or the controls will reduce the standalone ventilation run-time by accounting for hours when the HVAC system is heating or cooling.</v>
      </c>
      <c r="B167" s="343">
        <f>'[2]1b. Rater Field Checklist'!D172</f>
        <v>0</v>
      </c>
      <c r="C167" s="345">
        <f>'[2]1b. Rater Field Checklist'!M172</f>
        <v>0</v>
      </c>
    </row>
    <row r="168" spans="1:3" ht="26.4" hidden="1" x14ac:dyDescent="0.25">
      <c r="A168" s="345" t="str">
        <f>'[2]1b. Rater Field Checklist'!C173</f>
        <v>7.8 In-unit bathroom fans or in-line fans are ENERGY STAR certified if used as part of the dwelling-unit mechanical ventilation system. 57</v>
      </c>
      <c r="B168" s="343">
        <f>'[2]1b. Rater Field Checklist'!D173</f>
        <v>0</v>
      </c>
      <c r="C168" s="345">
        <f>'[2]1b. Rater Field Checklist'!M173</f>
        <v>0</v>
      </c>
    </row>
    <row r="169" spans="1:3" ht="39.6" hidden="1" x14ac:dyDescent="0.25">
      <c r="A169" s="345" t="str">
        <f>'[2]1b. Rater Field Checklist'!C175</f>
        <v>7.9 If central exhaust fans, ≤ 1 HP, are installed as part of the dwelling-unit mechanical ventilation system, then they are direct-drive, ECM, with variable speed controllers. If &gt; 1 HP, they are installed with NEMATM Premium Motors.</v>
      </c>
      <c r="B169" s="343">
        <f>'[2]1b. Rater Field Checklist'!D175</f>
        <v>0</v>
      </c>
      <c r="C169" s="345">
        <f>'[2]1b. Rater Field Checklist'!M175</f>
        <v>0</v>
      </c>
    </row>
    <row r="170" spans="1:3" ht="26.4" hidden="1" x14ac:dyDescent="0.25">
      <c r="A170" s="345" t="str">
        <f>'[2]1b. Rater Field Checklist'!C176</f>
        <v>7.10 Air inlet locations (Complete if ventilation air inlet locations were installed (2.22, 2.23); otherwise check “N/A”): 58, 59</v>
      </c>
      <c r="B170" s="343">
        <f>'[2]1b. Rater Field Checklist'!D176</f>
        <v>0</v>
      </c>
      <c r="C170" s="345">
        <f>'[2]1b. Rater Field Checklist'!M176</f>
        <v>0</v>
      </c>
    </row>
    <row r="171" spans="1:3" ht="26.4" hidden="1" x14ac:dyDescent="0.25">
      <c r="A171" s="345" t="str">
        <f>'[2]1b. Rater Field Checklist'!C179</f>
        <v xml:space="preserve"> 7.10.1 Inlet(s) pull ventilation air directly from outdoors and not from attic, crawlspace, garage, or adjacent dwelling unit.</v>
      </c>
      <c r="B171" s="343">
        <f>'[2]1b. Rater Field Checklist'!D179</f>
        <v>0</v>
      </c>
      <c r="C171" s="345">
        <f>'[2]1b. Rater Field Checklist'!M179</f>
        <v>0</v>
      </c>
    </row>
    <row r="172" spans="1:3" ht="39.6" hidden="1" x14ac:dyDescent="0.25">
      <c r="A172" s="345" t="str">
        <f>'[2]1b. Rater Field Checklist'!C180</f>
        <v xml:space="preserve"> 7.10.2 Inlet(s) are ≥ 2 ft. above grade or roof deck; ≥ 10 ft. of stretched-string distance from known contamination sources not exiting the roof, and ≥ 3 ft. distance from dryer exhausts and sources exiting the roof. 60</v>
      </c>
      <c r="B172" s="343">
        <f>'[2]1b. Rater Field Checklist'!D180</f>
        <v>0</v>
      </c>
      <c r="C172" s="345">
        <f>'[2]1b. Rater Field Checklist'!M180</f>
        <v>0</v>
      </c>
    </row>
    <row r="173" spans="1:3" hidden="1" x14ac:dyDescent="0.25">
      <c r="A173" s="345" t="str">
        <f>'[2]1b. Rater Field Checklist'!C182</f>
        <v>8. Local Mechanical Exhaust </v>
      </c>
      <c r="B173" s="343">
        <f>'[2]1b. Rater Field Checklist'!D182</f>
        <v>0</v>
      </c>
      <c r="C173" s="345">
        <f>'[2]1b. Rater Field Checklist'!M182</f>
        <v>0</v>
      </c>
    </row>
    <row r="174" spans="1:3" ht="39.6" hidden="1" x14ac:dyDescent="0.25">
      <c r="A174" s="345" t="str">
        <f>'[2]1b. Rater Field Checklist'!C183</f>
        <v>Dwelling Unit Mechanical exhaust - In each dwelling unit kitchen and bathroom, a system is installed that exhausts directly to the outdoors and meets one of the following Rater-measured airflow and manufacturer-rated sound level standards: 54, 61</v>
      </c>
      <c r="B174" s="343">
        <f>'[2]1b. Rater Field Checklist'!D183</f>
        <v>0</v>
      </c>
      <c r="C174" s="345">
        <f>'[2]1b. Rater Field Checklist'!M183</f>
        <v>0</v>
      </c>
    </row>
    <row r="175" spans="1:3" hidden="1" x14ac:dyDescent="0.25">
      <c r="A175" s="345" t="str">
        <f>'[2]1b. Rater Field Checklist'!C186</f>
        <v>Location </v>
      </c>
      <c r="B175" s="343">
        <f>'[2]1b. Rater Field Checklist'!D186</f>
        <v>0</v>
      </c>
      <c r="C175" s="345">
        <f>'[2]1b. Rater Field Checklist'!M186</f>
        <v>0</v>
      </c>
    </row>
    <row r="176" spans="1:3" ht="118.8" hidden="1" x14ac:dyDescent="0.25">
      <c r="A176" s="345" t="str">
        <f>'[2]1b. Rater Field Checklist'!C187</f>
        <v>8.1 Kitchen
Airflow
Continuous Rate:  ≥ 5 ACH, based on kitchen volume 63, 64
Intermittent Rate 62: ≥ 100 CFM and, if not integrated with range, also ≥ 5 ACH based on kitchen volume 63, 64, 65
Sound
Continuous Rate: Recommended: ≤ 1 sone
Intermittent Rate 62:  Recommended: ≤ 3 sones</v>
      </c>
      <c r="B176" s="343">
        <f>'[2]1b. Rater Field Checklist'!D187</f>
        <v>0</v>
      </c>
      <c r="C176" s="345">
        <f>'[2]1b. Rater Field Checklist'!M187</f>
        <v>0</v>
      </c>
    </row>
    <row r="177" spans="1:3" ht="105.6" hidden="1" x14ac:dyDescent="0.25">
      <c r="A177" s="345" t="str">
        <f>'[2]1b. Rater Field Checklist'!C192</f>
        <v>8.2 Bathroom
Airflow
Continuous Rate:  ≥ 20 CFM
Intermittent Rate 62: ≥ 50 CFM
Sound
Continuous Rate: Required: ≤ 2 sones
Intermittent Rate 62:  Recommended: ≤ 3 sones</v>
      </c>
      <c r="B177" s="343">
        <f>'[2]1b. Rater Field Checklist'!D192</f>
        <v>0</v>
      </c>
      <c r="C177" s="345">
        <f>'[2]1b. Rater Field Checklist'!$M$192</f>
        <v>0</v>
      </c>
    </row>
    <row r="178" spans="1:3" hidden="1" x14ac:dyDescent="0.25">
      <c r="A178" s="345" t="str">
        <f>'[2]1b. Rater Field Checklist'!C194</f>
        <v>Common Space 2 and Garage Mechanical Exhaust </v>
      </c>
      <c r="B178" s="343">
        <f>'[2]1b. Rater Field Checklist'!D194</f>
        <v>0</v>
      </c>
      <c r="C178" s="345">
        <f>'[2]1b. Rater Field Checklist'!$M$194</f>
        <v>0</v>
      </c>
    </row>
    <row r="179" spans="1:3" hidden="1" x14ac:dyDescent="0.25">
      <c r="A179" s="345" t="str">
        <f>'[2]1b. Rater Field Checklist'!C196</f>
        <v>8.3 Measured exhaust rates are  ≥ ASHRAE 62.1 rates (2c). 55</v>
      </c>
      <c r="B179" s="343">
        <f>'[2]1b. Rater Field Checklist'!D196</f>
        <v>0</v>
      </c>
      <c r="C179" s="345">
        <f>'[2]1b. Rater Field Checklist'!$M$196</f>
        <v>0</v>
      </c>
    </row>
    <row r="180" spans="1:3" ht="26.4" hidden="1" x14ac:dyDescent="0.25">
      <c r="A180" s="345" t="str">
        <f>'[2]1b. Rater Field Checklist'!C198</f>
        <v>8.4 Where a garage exhaust ventilation system is installed, it is equipped with controls that sense CO and NO2.</v>
      </c>
      <c r="B180" s="343">
        <f>'[2]1b. Rater Field Checklist'!D198</f>
        <v>0</v>
      </c>
      <c r="C180" s="345">
        <f>'[2]1b. Rater Field Checklist'!M198</f>
        <v>0</v>
      </c>
    </row>
    <row r="181" spans="1:3" hidden="1" x14ac:dyDescent="0.25">
      <c r="A181" s="345" t="str">
        <f>'[2]1b. Rater Field Checklist'!C199</f>
        <v>9. Filtration </v>
      </c>
      <c r="B181" s="343">
        <f>'[2]1b. Rater Field Checklist'!D199</f>
        <v>0</v>
      </c>
      <c r="C181" s="345">
        <f>'[2]1b. Rater Field Checklist'!M199</f>
        <v>0</v>
      </c>
    </row>
    <row r="182" spans="1:3" ht="26.4" hidden="1" x14ac:dyDescent="0.25">
      <c r="A182" s="345" t="str">
        <f>'[2]1b. Rater Field Checklist'!C200</f>
        <v>9.1 MERV 6+ filter(s) installed in each dwelling unit ducted mech. System, serving an individual dwelling unit located to facilitate access &amp; regular service by the occupant or building owner. 66</v>
      </c>
      <c r="B182" s="343">
        <f>'[2]1b. Rater Field Checklist'!D200</f>
        <v>0</v>
      </c>
      <c r="C182" s="345">
        <f>'[2]1b. Rater Field Checklist'!M200</f>
        <v>0</v>
      </c>
    </row>
    <row r="183" spans="1:3" ht="26.4" hidden="1" x14ac:dyDescent="0.25">
      <c r="A183" s="345" t="str">
        <f>'[2]1b. Rater Field Checklist'!C202</f>
        <v xml:space="preserve"> 9.1.1 Filter access panel includes gasket and fits snugly against the exposed edge of filter when closed to prevent bypass. 67</v>
      </c>
      <c r="B183" s="343">
        <f>'[2]1b. Rater Field Checklist'!D202</f>
        <v>0</v>
      </c>
      <c r="C183" s="345">
        <f>'[2]1b. Rater Field Checklist'!$M$202</f>
        <v>0</v>
      </c>
    </row>
    <row r="184" spans="1:3" hidden="1" x14ac:dyDescent="0.25">
      <c r="A184" s="345" t="str">
        <f>'[2]1b. Rater Field Checklist'!C204</f>
        <v xml:space="preserve"> 9.1.2 All return air and mechanically supplied outdoor air passes through filter prior to conditioning.</v>
      </c>
      <c r="B184" s="343">
        <f>'[2]1b. Rater Field Checklist'!D204</f>
        <v>0</v>
      </c>
      <c r="C184" s="345">
        <f>'[2]1b. Rater Field Checklist'!M204</f>
        <v>0</v>
      </c>
    </row>
    <row r="185" spans="1:3" hidden="1" x14ac:dyDescent="0.25">
      <c r="A185" s="345" t="str">
        <f>'[2]1b. Rater Field Checklist'!C205</f>
        <v>10. Combustion Appliances </v>
      </c>
      <c r="B185" s="343">
        <f>'[2]1b. Rater Field Checklist'!D205</f>
        <v>0</v>
      </c>
      <c r="C185" s="345">
        <f>'[2]1b. Rater Field Checklist'!M205</f>
        <v>0</v>
      </c>
    </row>
    <row r="186" spans="1:3" ht="66" hidden="1" x14ac:dyDescent="0.25">
      <c r="A186" s="345" t="str">
        <f>'[2]1b. Rater Field Checklist'!C206</f>
        <v>10.1 Furnaces, boilers, and water heaters located within the building’s pressure boundary are mechanically drafted or direct-vented. If mechanically drafted, the minimum volume of combustion air required for safe operation by the manufacturer and/or code shall be met or exceeded and make-up air sources must be mechanically closed when the combustion appliance is not in operation. Alternatives in Footnote 70. 68, 69, 70</v>
      </c>
      <c r="B186" s="343">
        <f>'[2]1b. Rater Field Checklist'!D206</f>
        <v>0</v>
      </c>
      <c r="C186" s="345">
        <f>'[2]1b. Rater Field Checklist'!M206</f>
        <v>0</v>
      </c>
    </row>
    <row r="187" spans="1:3" hidden="1" x14ac:dyDescent="0.25">
      <c r="A187" s="345" t="str">
        <f>'[2]1b. Rater Field Checklist'!C210</f>
        <v>10.2 Fireplaces located within the building’s pressure boundary are direct-vented. 68, 69</v>
      </c>
      <c r="B187" s="343">
        <f>'[2]1b. Rater Field Checklist'!D210</f>
        <v>0</v>
      </c>
      <c r="C187" s="345">
        <f>'[2]1b. Rater Field Checklist'!$M$210</f>
        <v>0</v>
      </c>
    </row>
    <row r="188" spans="1:3" ht="39.6" hidden="1" x14ac:dyDescent="0.25">
      <c r="A188" s="345" t="str">
        <f>'[2]1b. Rater Field Checklist'!C213</f>
        <v>10.3 No unvented combustion appliances other than cooking ranges or ovens are located inside the building’s pressure boundary. For cooking ranges and ovens, local mechanical exhaust per Checklist Item 8.1 requirements must be met. 68</v>
      </c>
      <c r="B188" s="343">
        <f>'[2]1b. Rater Field Checklist'!D213</f>
        <v>0</v>
      </c>
      <c r="C188" s="345">
        <f>'[2]1b. Rater Field Checklist'!$M$213</f>
        <v>0</v>
      </c>
    </row>
    <row r="189" spans="1:3" hidden="1" x14ac:dyDescent="0.25">
      <c r="A189" s="345" t="str">
        <f>'[2]1b. Rater Field Checklist'!C215</f>
        <v>Other </v>
      </c>
      <c r="B189" s="343">
        <f>'[2]1b. Rater Field Checklist'!D215</f>
        <v>0</v>
      </c>
      <c r="C189" s="345">
        <f>'[2]1b. Rater Field Checklist'!M215</f>
        <v>0</v>
      </c>
    </row>
    <row r="190" spans="1:3" hidden="1" x14ac:dyDescent="0.25">
      <c r="A190" s="345" t="str">
        <f>'[2]1b. Rater Field Checklist'!C216</f>
        <v>11. Domestic Hot Water </v>
      </c>
      <c r="B190" s="343">
        <f>'[2]1b. Rater Field Checklist'!D216</f>
        <v>0</v>
      </c>
      <c r="C190" s="345">
        <f>'[2]1b. Rater Field Checklist'!M216</f>
        <v>0</v>
      </c>
    </row>
    <row r="191" spans="1:3" ht="26.4" hidden="1" x14ac:dyDescent="0.25">
      <c r="A191" s="345" t="str">
        <f>'[2]1b. Rater Field Checklist'!C217</f>
        <v>11.1 Prescriptive Path: Hot water equipment rated in EF or UEF meet the efficiency levels specified in the ENERGY STAR Multifamily Reference Design. Boilers providing hot water are ≥85% Et. 71</v>
      </c>
      <c r="B191" s="343">
        <f>'[2]1b. Rater Field Checklist'!D217</f>
        <v>0</v>
      </c>
      <c r="C191" s="345">
        <f>'[2]1b. Rater Field Checklist'!M217</f>
        <v>0</v>
      </c>
    </row>
    <row r="192" spans="1:3" ht="39.6" hidden="1" x14ac:dyDescent="0.25">
      <c r="A192" s="345" t="str">
        <f>'[2]1b. Rater Field Checklist'!C219</f>
        <v>11.2 ERI: For hot water equipment serving common spaces but not dwelling units nor shared laundry: where rated EF or UEF, meet the efficiency levels specified in the ENERGY STAR Multifamily Reference Design. Where rated in thermal efficiency, meet or exceed 85% Et. 71</v>
      </c>
      <c r="B192" s="343">
        <f>'[2]1b. Rater Field Checklist'!D219</f>
        <v>0</v>
      </c>
      <c r="C192" s="345">
        <f>'[2]1b. Rater Field Checklist'!$M$219</f>
        <v>0</v>
      </c>
    </row>
    <row r="193" spans="1:3" hidden="1" x14ac:dyDescent="0.25">
      <c r="A193" s="345" t="str">
        <f>'[2]1b. Rater Field Checklist'!C221</f>
        <v>11.3 For in-unit storage water heaters, AHRI Certificate confirms the presence of a heat trap.</v>
      </c>
      <c r="B193" s="343">
        <f>'[2]1b. Rater Field Checklist'!D221</f>
        <v>0</v>
      </c>
      <c r="C193" s="345">
        <f>'[2]1b. Rater Field Checklist'!M221</f>
        <v>0</v>
      </c>
    </row>
    <row r="194" spans="1:3" hidden="1" x14ac:dyDescent="0.25">
      <c r="A194" s="345" t="str">
        <f>'[2]1b. Rater Field Checklist'!C222</f>
        <v>11.4 DHW piping located in the dwelling unit is insulated with a minimum of R-3. 72</v>
      </c>
      <c r="B194" s="343">
        <f>'[2]1b. Rater Field Checklist'!D222</f>
        <v>0</v>
      </c>
      <c r="C194" s="345">
        <f>'[2]1b. Rater Field Checklist'!M222</f>
        <v>0</v>
      </c>
    </row>
    <row r="195" spans="1:3" hidden="1" x14ac:dyDescent="0.25">
      <c r="A195" s="345" t="str">
        <f>'[2]1b. Rater Field Checklist'!C224</f>
        <v>11.5 Rater-measured delivery temperatures at faucets and showerheads do not exceed 125°F. 73</v>
      </c>
      <c r="B195" s="343">
        <f>'[2]1b. Rater Field Checklist'!D224</f>
        <v>0</v>
      </c>
      <c r="C195" s="345">
        <f>'[2]1b. Rater Field Checklist'!$M$224</f>
        <v>0</v>
      </c>
    </row>
    <row r="196" spans="1:3" hidden="1" x14ac:dyDescent="0.25">
      <c r="A196" s="345" t="str">
        <f>'[2]1b. Rater Field Checklist'!C226</f>
        <v>12. Lighting </v>
      </c>
      <c r="B196" s="343">
        <f>'[2]1b. Rater Field Checklist'!D226</f>
        <v>0</v>
      </c>
      <c r="C196" s="345">
        <f>'[2]1b. Rater Field Checklist'!M226</f>
        <v>0</v>
      </c>
    </row>
    <row r="197" spans="1:3" hidden="1" x14ac:dyDescent="0.25">
      <c r="A197" s="345" t="str">
        <f>'[2]1b. Rater Field Checklist'!C227</f>
        <v>12.1 Common Space 2 Lighting Controls:</v>
      </c>
      <c r="B197" s="343">
        <f>'[2]1b. Rater Field Checklist'!D227</f>
        <v>0</v>
      </c>
      <c r="C197" s="345">
        <f>'[2]1b. Rater Field Checklist'!M227</f>
        <v>0</v>
      </c>
    </row>
    <row r="198" spans="1:3" ht="39.6" hidden="1" x14ac:dyDescent="0.25">
      <c r="A198" s="345" t="str">
        <f>'[2]1b. Rater Field Checklist'!C229</f>
        <v xml:space="preserve"> 12.1.1 ERI and Prescriptive Path: All common spaces 2 (including shared garages), except the building lobby and where automatic shutoff would endanger the safety of occupants, have occupancy sensors or automatic bi-level lighting controls installed and operation has been verified.</v>
      </c>
      <c r="B198" s="343">
        <f>'[2]1b. Rater Field Checklist'!D229</f>
        <v>0</v>
      </c>
      <c r="C198" s="345">
        <f>'[2]1b. Rater Field Checklist'!$M$229</f>
        <v>0</v>
      </c>
    </row>
    <row r="199" spans="1:3" ht="39.6" hidden="1" x14ac:dyDescent="0.25">
      <c r="A199" s="345" t="str">
        <f>'[2]1b. Rater Field Checklist'!C231</f>
        <v xml:space="preserve"> 12.1.2 ASHRAE path only: All common spaces 2 (including shared garages), except the building lobby, corridors, and stairwells and where automatic shutoff would endanger the safety of occupants, have occupancy sensors or automatic bi-level lighting controls installed and operation has been verified.</v>
      </c>
      <c r="B199" s="343">
        <f>'[2]1b. Rater Field Checklist'!D231</f>
        <v>0</v>
      </c>
      <c r="C199" s="345">
        <f>'[2]1b. Rater Field Checklist'!$M$231</f>
        <v>0</v>
      </c>
    </row>
    <row r="200" spans="1:3" hidden="1" x14ac:dyDescent="0.25">
      <c r="A200" s="345" t="str">
        <f>'[2]1b. Rater Field Checklist'!C233</f>
        <v>12.2 Common Space 2 Lighting Power Density Maximum (except garages): 74</v>
      </c>
      <c r="B200" s="343">
        <f>'[2]1b. Rater Field Checklist'!D233</f>
        <v>0</v>
      </c>
      <c r="C200" s="345">
        <f>'[2]1b. Rater Field Checklist'!$M$233</f>
        <v>0</v>
      </c>
    </row>
    <row r="201" spans="1:3" ht="39.6" hidden="1" x14ac:dyDescent="0.25">
      <c r="A201" s="345" t="str">
        <f>'[2]1b. Rater Field Checklist'!C235</f>
        <v xml:space="preserve"> 12.2.1 ERI and Prescriptive Path: Total installed lighting power for the combined common spaces 2 must not exceed ASHRAE 90.1-2007 allowances for those combined spaces, using the Space-by-Space or Building Area Method. See Footnote 75 for allowances. 75</v>
      </c>
      <c r="B201" s="343">
        <f>'[2]1b. Rater Field Checklist'!D235</f>
        <v>0</v>
      </c>
      <c r="C201" s="345">
        <f>'[2]1b. Rater Field Checklist'!$M$235</f>
        <v>0</v>
      </c>
    </row>
    <row r="202" spans="1:3" ht="39.6" hidden="1" x14ac:dyDescent="0.25">
      <c r="A202" s="345" t="str">
        <f>'[2]1b. Rater Field Checklist'!C238</f>
        <v xml:space="preserve"> 12.2.2 ASHRAE path only: Total installed lighting power for the combined common spaces 2 must not exceed ASHRAE 90.1-2007 allowances for those combined spaces, using the Space-by-Space or Building Area Method, by more than 20%. See Footnote 75 for allowances. 75</v>
      </c>
      <c r="B202" s="343">
        <f>'[2]1b. Rater Field Checklist'!D238</f>
        <v>0</v>
      </c>
      <c r="C202" s="345">
        <f>'[2]1b. Rater Field Checklist'!$M$238</f>
        <v>0</v>
      </c>
    </row>
    <row r="203" spans="1:3" hidden="1" x14ac:dyDescent="0.25">
      <c r="A203" s="345" t="str">
        <f>'[2]1b. Rater Field Checklist'!C241</f>
        <v>12.3 Shared garages: Lighting power density does not exceed 0.24 W/ft2.</v>
      </c>
      <c r="B203" s="343">
        <f>'[2]1b. Rater Field Checklist'!D241</f>
        <v>0</v>
      </c>
      <c r="C203" s="345">
        <f>'[2]1b. Rater Field Checklist'!M241</f>
        <v>0</v>
      </c>
    </row>
    <row r="204" spans="1:3" ht="39.6" hidden="1" x14ac:dyDescent="0.25">
      <c r="A204" s="345" t="str">
        <f>'[2]1b. Rater Field Checklist'!C242</f>
        <v>12.4 Exterior lighting controls: Fixtures, including parking lot fixtures, must include automatic switching on timers or photocell controls except fixtures intended for 24-hour operation, required for security, or located on dwelling unit balconies.</v>
      </c>
      <c r="B204" s="343">
        <f>'[2]1b. Rater Field Checklist'!D242</f>
        <v>0</v>
      </c>
      <c r="C204" s="345">
        <f>'[2]1b. Rater Field Checklist'!M242</f>
        <v>0</v>
      </c>
    </row>
    <row r="205" spans="1:3" ht="26.4" hidden="1" x14ac:dyDescent="0.25">
      <c r="A205" s="345" t="str">
        <f>'[2]1b. Rater Field Checklist'!C243</f>
        <v>12.5 ERI Path: All exterior and common space lighting fixtures meet the efficiency requirements in the ENERGY STAR Multifamily Reference Design, except fixtures located on dwelling unit balconies. 76, 77</v>
      </c>
      <c r="B205" s="343">
        <f>'[2]1b. Rater Field Checklist'!D243</f>
        <v>0</v>
      </c>
      <c r="C205" s="345">
        <f>'[2]1b. Rater Field Checklist'!M243</f>
        <v>0</v>
      </c>
    </row>
    <row r="206" spans="1:3" ht="26.4" hidden="1" x14ac:dyDescent="0.25">
      <c r="A206" s="345" t="str">
        <f>'[2]1b. Rater Field Checklist'!C246</f>
        <v>12.6 Prescriptive Path: All lighting fixtures (i.e., dwelling units, common spaces, and exterior) meet the efficiency requirements in the ENERGY STAR Multifamily Reference Design. 76, 77</v>
      </c>
      <c r="B206" s="343">
        <f>'[2]1b. Rater Field Checklist'!D246</f>
        <v>0</v>
      </c>
      <c r="C206" s="345">
        <f>'[2]1b. Rater Field Checklist'!$M$246</f>
        <v>0</v>
      </c>
    </row>
    <row r="207" spans="1:3" ht="26.4" hidden="1" x14ac:dyDescent="0.25">
      <c r="A207" s="345" t="str">
        <f>'[2]1b. Rater Field Checklist'!C249</f>
        <v>12.7 Prescriptive Path: Dwelling unit overall in-unit lighting power density ≤ 0.75 W/ft2. When calculating overall lighting power density, use 1.1 W/ft2 where lighting is not installed. 74</v>
      </c>
      <c r="B207" s="343">
        <f>'[2]1b. Rater Field Checklist'!D249</f>
        <v>0</v>
      </c>
      <c r="C207" s="345">
        <f>'[2]1b. Rater Field Checklist'!$M$249</f>
        <v>0</v>
      </c>
    </row>
    <row r="208" spans="1:3" hidden="1" x14ac:dyDescent="0.25">
      <c r="A208" s="345" t="str">
        <f>'[2]1b. Rater Field Checklist'!C251</f>
        <v>13. Appliances, Ceiling Fans, and Plumbing Fixtures </v>
      </c>
      <c r="B208" s="343">
        <f>'[2]1b. Rater Field Checklist'!D251</f>
        <v>0</v>
      </c>
      <c r="C208" s="345">
        <f>'[2]1b. Rater Field Checklist'!M251</f>
        <v>0</v>
      </c>
    </row>
    <row r="209" spans="1:3" ht="26.4" hidden="1" x14ac:dyDescent="0.25">
      <c r="A209" s="345" t="str">
        <f>'[2]1b. Rater Field Checklist'!C252</f>
        <v>13.1 Prescriptive Path: Installed appliances and plumbing fixtures in dwelling units and common spaces meet the criteria in the ENERGY STAR Multifamily Reference Design. 78</v>
      </c>
      <c r="B209" s="343">
        <f>'[2]1b. Rater Field Checklist'!D252</f>
        <v>0</v>
      </c>
      <c r="C209" s="345">
        <f>'[2]1b. Rater Field Checklist'!M252</f>
        <v>0</v>
      </c>
    </row>
    <row r="210" spans="1:3" ht="26.4" hidden="1" x14ac:dyDescent="0.25">
      <c r="A210" s="345" t="str">
        <f>'[2]1b. Rater Field Checklist'!C254</f>
        <v>13.2 ERI Path: Installed appliances and plumbing fixtures in common spaces, and not included in the ERI model, meet the criteria in the ENERGY STAR Multifamily Reference Design. 78</v>
      </c>
      <c r="B210" s="343">
        <f>'[2]1b. Rater Field Checklist'!D254</f>
        <v>0</v>
      </c>
      <c r="C210" s="345">
        <f>'[2]1b. Rater Field Checklist'!$M$254</f>
        <v>0</v>
      </c>
    </row>
    <row r="211" spans="1:3" ht="39.6" hidden="1" x14ac:dyDescent="0.25">
      <c r="A211" s="345" t="str">
        <f>'[2]1b. Rater Field Checklist'!C256</f>
        <v>13.3 Prescriptive Path: Shower compartments with multiple fixtures cannot be operated simultaneously OR the total flow rate per shower compartment must not exceed 1.75 gallons per minute, as rated at 80 psi.</v>
      </c>
      <c r="B211" s="343">
        <f>'[2]1b. Rater Field Checklist'!D256</f>
        <v>0</v>
      </c>
      <c r="C211" s="345">
        <f>'[2]1b. Rater Field Checklist'!M256</f>
        <v>0</v>
      </c>
    </row>
    <row r="212" spans="1:3" hidden="1" x14ac:dyDescent="0.25">
      <c r="A212" s="345" t="str">
        <f>'[2]1b. Rater Field Checklist'!C257</f>
        <v>14. Whole Building Energy Consumption Data Acquisition </v>
      </c>
      <c r="B212" s="343">
        <f>'[2]1b. Rater Field Checklist'!D257</f>
        <v>0</v>
      </c>
      <c r="C212" s="345">
        <f>'[2]1b. Rater Field Checklist'!M257</f>
        <v>0</v>
      </c>
    </row>
    <row r="213" spans="1:3" ht="39.6" hidden="1" x14ac:dyDescent="0.25">
      <c r="A213" s="345" t="str">
        <f>'[2]1b. Rater Field Checklist'!C258</f>
        <v>14.1 For buildings 50,000 ft2 and larger, a strategy that enables the collection of monthly or annual building-level energy consumption data (electricity, natural gas, chilled water, steam, fuel oil, propane, etc.) has been confirmed. 79</v>
      </c>
      <c r="B213" s="343">
        <f>'[2]1b. Rater Field Checklist'!D258</f>
        <v>0</v>
      </c>
      <c r="C213" s="345">
        <f>'[2]1b. Rater Field Checklist'!M258</f>
        <v>0</v>
      </c>
    </row>
  </sheetData>
  <sheetProtection insertColumns="0" insertRows="0" insertHyperlinks="0" deleteColumns="0" deleteRows="0" sort="0" autoFilter="0"/>
  <mergeCells count="4">
    <mergeCell ref="A2:C2"/>
    <mergeCell ref="A3:C3"/>
    <mergeCell ref="A6:C6"/>
    <mergeCell ref="A71:C71"/>
  </mergeCells>
  <pageMargins left="0.7" right="0.7" top="0.75" bottom="0.75" header="0.3" footer="0.3"/>
  <pageSetup scale="67" orientation="portrait" horizontalDpi="1200" verticalDpi="1200"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6A87-B6F9-C645-BF3B-D6CA2F1681EE}">
  <sheetPr codeName="Sheet19">
    <tabColor theme="5" tint="0.79998168889431442"/>
    <pageSetUpPr fitToPage="1"/>
  </sheetPr>
  <dimension ref="A1:K130"/>
  <sheetViews>
    <sheetView topLeftCell="A4" zoomScale="70" zoomScaleNormal="70" workbookViewId="0">
      <selection activeCell="B6" sqref="B6"/>
    </sheetView>
  </sheetViews>
  <sheetFormatPr defaultColWidth="10.8984375" defaultRowHeight="15" x14ac:dyDescent="0.25"/>
  <cols>
    <col min="1" max="1" width="2.59765625" style="331" customWidth="1"/>
    <col min="2" max="2" width="16.3984375" style="331" customWidth="1"/>
    <col min="3" max="3" width="95.09765625" style="331" customWidth="1"/>
    <col min="4" max="4" width="17.3984375" style="351" customWidth="1"/>
    <col min="5" max="5" width="17" style="351" customWidth="1"/>
    <col min="6" max="6" width="25.09765625" style="351" customWidth="1"/>
    <col min="7" max="7" width="15.09765625" style="353" customWidth="1"/>
    <col min="8" max="11" width="21.8984375" style="331" hidden="1" customWidth="1"/>
    <col min="12" max="16384" width="10.8984375" style="331"/>
  </cols>
  <sheetData>
    <row r="1" spans="1:11" ht="91.5" customHeight="1" x14ac:dyDescent="0.25">
      <c r="A1" s="331" t="s">
        <v>542</v>
      </c>
      <c r="E1" s="1716" t="s">
        <v>543</v>
      </c>
      <c r="F1" s="1716"/>
      <c r="G1" s="352"/>
    </row>
    <row r="2" spans="1:11" s="352" customFormat="1" ht="5.25" customHeight="1" thickBot="1" x14ac:dyDescent="0.3">
      <c r="D2" s="353"/>
      <c r="E2" s="354"/>
      <c r="F2" s="354"/>
    </row>
    <row r="3" spans="1:11" ht="30.9" customHeight="1" x14ac:dyDescent="0.25">
      <c r="A3" s="331" t="s">
        <v>544</v>
      </c>
      <c r="B3" s="321" t="s">
        <v>545</v>
      </c>
      <c r="C3" s="355" t="str">
        <f>IF('[2]Project Information'!C5:D5="","",'[2]Project Information'!C5:D5)</f>
        <v/>
      </c>
      <c r="D3" s="322" t="s">
        <v>546</v>
      </c>
      <c r="E3" s="355" t="str">
        <f>IF('[2]Project Information'!$F$11="","",'[2]Project Information'!$F$11)</f>
        <v/>
      </c>
      <c r="F3" s="322" t="s">
        <v>547</v>
      </c>
      <c r="G3" s="356" t="str">
        <f>IF('[2]Project Information'!G5:H5="","",'[2]Project Information'!G5:H5)</f>
        <v/>
      </c>
    </row>
    <row r="4" spans="1:11" ht="30.9" customHeight="1" x14ac:dyDescent="0.25">
      <c r="A4" s="331" t="s">
        <v>544</v>
      </c>
      <c r="B4" s="325" t="s">
        <v>548</v>
      </c>
      <c r="C4" s="357" t="str">
        <f>IF('[2]Project Information'!C6:D6="","",'[2]Project Information'!C6:D6)</f>
        <v/>
      </c>
      <c r="D4" s="316" t="s">
        <v>549</v>
      </c>
      <c r="E4" s="357" t="str">
        <f>IF('[2]Project Information'!F6="","",'[2]Project Information'!F6)</f>
        <v/>
      </c>
      <c r="F4" s="316" t="s">
        <v>550</v>
      </c>
      <c r="G4" s="358" t="str">
        <f>IF('[2]Project Information'!H6="","",'[2]Project Information'!H6)</f>
        <v/>
      </c>
    </row>
    <row r="5" spans="1:11" ht="5.25" customHeight="1" thickBot="1" x14ac:dyDescent="0.3">
      <c r="B5" s="359"/>
      <c r="C5" s="328"/>
      <c r="D5" s="328"/>
      <c r="E5" s="328"/>
      <c r="F5" s="328"/>
      <c r="G5" s="329"/>
    </row>
    <row r="6" spans="1:11" ht="15.6" thickBot="1" x14ac:dyDescent="0.3">
      <c r="G6" s="352"/>
    </row>
    <row r="7" spans="1:11" ht="22.8" x14ac:dyDescent="0.3">
      <c r="C7" s="1717" t="s">
        <v>551</v>
      </c>
      <c r="D7" s="1718"/>
      <c r="E7" s="1718"/>
      <c r="F7" s="1719"/>
      <c r="G7" s="360"/>
      <c r="H7" s="337"/>
      <c r="I7" s="337"/>
      <c r="J7" s="337"/>
      <c r="K7" s="337"/>
    </row>
    <row r="8" spans="1:11" ht="18" x14ac:dyDescent="0.3">
      <c r="C8" s="361" t="s">
        <v>552</v>
      </c>
      <c r="D8" s="362" t="s">
        <v>537</v>
      </c>
      <c r="E8" s="362" t="s">
        <v>553</v>
      </c>
      <c r="F8" s="363" t="s">
        <v>538</v>
      </c>
      <c r="G8" s="364" t="s">
        <v>554</v>
      </c>
      <c r="H8" s="365" t="s">
        <v>555</v>
      </c>
      <c r="I8" s="365" t="s">
        <v>556</v>
      </c>
      <c r="J8" s="365" t="s">
        <v>557</v>
      </c>
      <c r="K8" s="365" t="s">
        <v>558</v>
      </c>
    </row>
    <row r="9" spans="1:11" ht="21.6" thickBot="1" x14ac:dyDescent="0.35">
      <c r="C9" s="366" t="s">
        <v>559</v>
      </c>
      <c r="D9" s="367"/>
      <c r="E9" s="367"/>
      <c r="F9" s="368"/>
      <c r="G9" s="369"/>
      <c r="H9" s="370" t="s">
        <v>560</v>
      </c>
      <c r="I9" s="370" t="s">
        <v>561</v>
      </c>
      <c r="J9" s="370" t="s">
        <v>562</v>
      </c>
      <c r="K9" s="370"/>
    </row>
    <row r="10" spans="1:11" ht="207.9" hidden="1" customHeight="1" x14ac:dyDescent="0.25">
      <c r="C10" s="371" t="s">
        <v>563</v>
      </c>
      <c r="D10" s="372"/>
      <c r="E10" s="373"/>
      <c r="F10" s="374"/>
      <c r="G10" s="370"/>
      <c r="H10" s="370" t="s">
        <v>560</v>
      </c>
      <c r="I10" s="370" t="s">
        <v>561</v>
      </c>
      <c r="J10" s="370" t="s">
        <v>564</v>
      </c>
      <c r="K10" s="370"/>
    </row>
    <row r="11" spans="1:11" ht="82.5" hidden="1" customHeight="1" thickBot="1" x14ac:dyDescent="0.3">
      <c r="C11" s="375" t="s">
        <v>565</v>
      </c>
      <c r="D11" s="376"/>
      <c r="E11" s="377"/>
      <c r="F11" s="378"/>
      <c r="G11" s="370"/>
      <c r="H11" s="370" t="s">
        <v>560</v>
      </c>
      <c r="I11" s="370" t="s">
        <v>561</v>
      </c>
      <c r="J11" s="370" t="s">
        <v>566</v>
      </c>
      <c r="K11" s="370"/>
    </row>
    <row r="12" spans="1:11" ht="75" x14ac:dyDescent="0.25">
      <c r="C12" s="379" t="s">
        <v>567</v>
      </c>
      <c r="D12" s="380"/>
      <c r="E12" s="380"/>
      <c r="F12" s="381"/>
      <c r="G12" s="382"/>
      <c r="H12" s="370" t="s">
        <v>560</v>
      </c>
      <c r="I12" s="370" t="s">
        <v>561</v>
      </c>
      <c r="J12" s="370" t="s">
        <v>568</v>
      </c>
      <c r="K12" s="370"/>
    </row>
    <row r="13" spans="1:11" ht="60" x14ac:dyDescent="0.25">
      <c r="C13" s="383" t="s">
        <v>569</v>
      </c>
      <c r="D13" s="384"/>
      <c r="E13" s="384"/>
      <c r="F13" s="385"/>
      <c r="G13" s="382"/>
      <c r="H13" s="370" t="s">
        <v>570</v>
      </c>
      <c r="I13" s="370" t="s">
        <v>561</v>
      </c>
      <c r="J13" s="370" t="s">
        <v>568</v>
      </c>
      <c r="K13" s="370"/>
    </row>
    <row r="14" spans="1:11" ht="21" x14ac:dyDescent="0.3">
      <c r="C14" s="386" t="s">
        <v>571</v>
      </c>
      <c r="D14" s="387"/>
      <c r="E14" s="387"/>
      <c r="F14" s="388"/>
      <c r="G14" s="369"/>
      <c r="H14" s="370" t="s">
        <v>560</v>
      </c>
      <c r="I14" s="370" t="s">
        <v>561</v>
      </c>
      <c r="J14" s="370" t="s">
        <v>562</v>
      </c>
      <c r="K14" s="370"/>
    </row>
    <row r="15" spans="1:11" ht="20.399999999999999" x14ac:dyDescent="0.25">
      <c r="C15" s="383" t="s">
        <v>572</v>
      </c>
      <c r="D15" s="389"/>
      <c r="E15" s="389"/>
      <c r="F15" s="388"/>
      <c r="G15" s="369"/>
      <c r="H15" s="370" t="s">
        <v>560</v>
      </c>
      <c r="I15" s="370" t="s">
        <v>561</v>
      </c>
      <c r="J15" s="370" t="s">
        <v>568</v>
      </c>
      <c r="K15" s="370"/>
    </row>
    <row r="16" spans="1:11" s="390" customFormat="1" ht="50.4" thickBot="1" x14ac:dyDescent="0.35">
      <c r="C16" s="391" t="s">
        <v>573</v>
      </c>
      <c r="D16" s="392"/>
      <c r="E16" s="392"/>
      <c r="F16" s="393"/>
      <c r="G16" s="394"/>
      <c r="H16" s="395" t="s">
        <v>574</v>
      </c>
      <c r="I16" s="395" t="s">
        <v>561</v>
      </c>
      <c r="J16" s="395" t="s">
        <v>568</v>
      </c>
      <c r="K16" s="395"/>
    </row>
    <row r="17" spans="3:11" s="402" customFormat="1" ht="352.5" hidden="1" customHeight="1" thickBot="1" x14ac:dyDescent="0.3">
      <c r="C17" s="396" t="s">
        <v>575</v>
      </c>
      <c r="D17" s="397"/>
      <c r="E17" s="397"/>
      <c r="F17" s="398"/>
      <c r="G17" s="399"/>
      <c r="H17" s="370" t="s">
        <v>574</v>
      </c>
      <c r="I17" s="370" t="s">
        <v>561</v>
      </c>
      <c r="J17" s="400" t="s">
        <v>576</v>
      </c>
      <c r="K17" s="401"/>
    </row>
    <row r="18" spans="3:11" ht="50.4" thickBot="1" x14ac:dyDescent="0.3">
      <c r="C18" s="403" t="s">
        <v>577</v>
      </c>
      <c r="D18" s="404"/>
      <c r="E18" s="404"/>
      <c r="F18" s="405"/>
      <c r="G18" s="369"/>
      <c r="H18" s="370" t="s">
        <v>578</v>
      </c>
      <c r="I18" s="370" t="s">
        <v>561</v>
      </c>
      <c r="J18" s="370" t="s">
        <v>568</v>
      </c>
      <c r="K18" s="370"/>
    </row>
    <row r="19" spans="3:11" s="402" customFormat="1" ht="352.5" hidden="1" customHeight="1" thickBot="1" x14ac:dyDescent="0.3">
      <c r="C19" s="396" t="s">
        <v>575</v>
      </c>
      <c r="D19" s="406"/>
      <c r="E19" s="406"/>
      <c r="F19" s="407"/>
      <c r="G19" s="408"/>
      <c r="H19" s="400" t="s">
        <v>578</v>
      </c>
      <c r="I19" s="400" t="s">
        <v>561</v>
      </c>
      <c r="J19" s="400" t="s">
        <v>579</v>
      </c>
      <c r="K19" s="401"/>
    </row>
    <row r="20" spans="3:11" s="390" customFormat="1" ht="35.4" thickBot="1" x14ac:dyDescent="0.35">
      <c r="C20" s="403" t="s">
        <v>580</v>
      </c>
      <c r="D20" s="409"/>
      <c r="E20" s="409"/>
      <c r="F20" s="410"/>
      <c r="G20" s="394"/>
      <c r="H20" s="395" t="s">
        <v>560</v>
      </c>
      <c r="I20" s="395" t="s">
        <v>561</v>
      </c>
      <c r="J20" s="395" t="s">
        <v>568</v>
      </c>
      <c r="K20" s="395"/>
    </row>
    <row r="21" spans="3:11" ht="105.6" hidden="1" thickBot="1" x14ac:dyDescent="0.3">
      <c r="C21" s="396" t="s">
        <v>581</v>
      </c>
      <c r="D21" s="411"/>
      <c r="E21" s="411"/>
      <c r="F21" s="412"/>
      <c r="G21" s="369"/>
      <c r="H21" s="370" t="s">
        <v>560</v>
      </c>
      <c r="I21" s="370" t="s">
        <v>561</v>
      </c>
      <c r="J21" s="370" t="s">
        <v>582</v>
      </c>
      <c r="K21" s="370"/>
    </row>
    <row r="22" spans="3:11" ht="50.4" thickBot="1" x14ac:dyDescent="0.3">
      <c r="C22" s="403" t="s">
        <v>583</v>
      </c>
      <c r="D22" s="404"/>
      <c r="E22" s="404"/>
      <c r="F22" s="405"/>
      <c r="G22" s="369"/>
      <c r="H22" s="370" t="s">
        <v>584</v>
      </c>
      <c r="I22" s="370" t="s">
        <v>561</v>
      </c>
      <c r="J22" s="370" t="s">
        <v>568</v>
      </c>
      <c r="K22" s="370"/>
    </row>
    <row r="23" spans="3:11" ht="348.9" hidden="1" customHeight="1" thickBot="1" x14ac:dyDescent="0.3">
      <c r="C23" s="396" t="s">
        <v>575</v>
      </c>
      <c r="D23" s="411"/>
      <c r="E23" s="411"/>
      <c r="F23" s="412"/>
      <c r="G23" s="369"/>
      <c r="H23" s="370" t="s">
        <v>584</v>
      </c>
      <c r="I23" s="370" t="s">
        <v>561</v>
      </c>
      <c r="J23" s="370" t="s">
        <v>585</v>
      </c>
      <c r="K23" s="370"/>
    </row>
    <row r="24" spans="3:11" ht="52.8" thickBot="1" x14ac:dyDescent="0.3">
      <c r="C24" s="403" t="s">
        <v>586</v>
      </c>
      <c r="D24" s="404"/>
      <c r="E24" s="404"/>
      <c r="F24" s="405"/>
      <c r="G24" s="369"/>
      <c r="H24" s="370" t="s">
        <v>570</v>
      </c>
      <c r="I24" s="370" t="s">
        <v>561</v>
      </c>
      <c r="J24" s="370" t="s">
        <v>568</v>
      </c>
      <c r="K24" s="370"/>
    </row>
    <row r="25" spans="3:11" ht="350.25" hidden="1" customHeight="1" thickBot="1" x14ac:dyDescent="0.3">
      <c r="C25" s="396" t="s">
        <v>575</v>
      </c>
      <c r="D25" s="411"/>
      <c r="E25" s="411"/>
      <c r="F25" s="412"/>
      <c r="G25" s="369"/>
      <c r="H25" s="370" t="s">
        <v>570</v>
      </c>
      <c r="I25" s="370" t="s">
        <v>561</v>
      </c>
      <c r="J25" s="370" t="s">
        <v>587</v>
      </c>
      <c r="K25" s="370"/>
    </row>
    <row r="26" spans="3:11" ht="21" x14ac:dyDescent="0.3">
      <c r="C26" s="413" t="s">
        <v>588</v>
      </c>
      <c r="D26" s="414"/>
      <c r="E26" s="414"/>
      <c r="F26" s="415"/>
      <c r="G26" s="369"/>
      <c r="H26" s="370" t="s">
        <v>560</v>
      </c>
      <c r="I26" s="370" t="s">
        <v>561</v>
      </c>
      <c r="J26" s="370" t="s">
        <v>562</v>
      </c>
      <c r="K26" s="370"/>
    </row>
    <row r="27" spans="3:11" ht="20.399999999999999" x14ac:dyDescent="0.25">
      <c r="C27" s="383" t="s">
        <v>589</v>
      </c>
      <c r="D27" s="389"/>
      <c r="E27" s="389"/>
      <c r="F27" s="388"/>
      <c r="G27" s="369"/>
      <c r="H27" s="370" t="s">
        <v>560</v>
      </c>
      <c r="I27" s="370" t="s">
        <v>561</v>
      </c>
      <c r="J27" s="370" t="s">
        <v>568</v>
      </c>
      <c r="K27" s="370"/>
    </row>
    <row r="28" spans="3:11" ht="52.8" thickBot="1" x14ac:dyDescent="0.3">
      <c r="C28" s="391" t="s">
        <v>590</v>
      </c>
      <c r="D28" s="416"/>
      <c r="E28" s="416"/>
      <c r="F28" s="417"/>
      <c r="G28" s="369"/>
      <c r="H28" s="370" t="s">
        <v>574</v>
      </c>
      <c r="I28" s="370" t="s">
        <v>561</v>
      </c>
      <c r="J28" s="370" t="s">
        <v>568</v>
      </c>
      <c r="K28" s="370"/>
    </row>
    <row r="29" spans="3:11" ht="75.599999999999994" hidden="1" thickBot="1" x14ac:dyDescent="0.3">
      <c r="C29" s="371" t="s">
        <v>591</v>
      </c>
      <c r="D29" s="372"/>
      <c r="E29" s="372"/>
      <c r="F29" s="374"/>
      <c r="G29" s="369"/>
      <c r="H29" s="370" t="s">
        <v>574</v>
      </c>
      <c r="I29" s="370" t="s">
        <v>561</v>
      </c>
      <c r="J29" s="370" t="s">
        <v>592</v>
      </c>
      <c r="K29" s="370"/>
    </row>
    <row r="30" spans="3:11" ht="90.6" hidden="1" thickBot="1" x14ac:dyDescent="0.3">
      <c r="C30" s="418" t="s">
        <v>593</v>
      </c>
      <c r="D30" s="419"/>
      <c r="E30" s="419"/>
      <c r="F30" s="420"/>
      <c r="G30" s="369"/>
      <c r="H30" s="370" t="s">
        <v>574</v>
      </c>
      <c r="I30" s="370" t="s">
        <v>561</v>
      </c>
      <c r="J30" s="370" t="s">
        <v>594</v>
      </c>
      <c r="K30" s="370"/>
    </row>
    <row r="31" spans="3:11" ht="398.25" hidden="1" customHeight="1" x14ac:dyDescent="0.25">
      <c r="C31" s="418" t="s">
        <v>595</v>
      </c>
      <c r="D31" s="419"/>
      <c r="E31" s="419"/>
      <c r="F31" s="420"/>
      <c r="G31" s="369"/>
      <c r="H31" s="370" t="s">
        <v>574</v>
      </c>
      <c r="I31" s="370" t="s">
        <v>561</v>
      </c>
      <c r="J31" s="370" t="s">
        <v>596</v>
      </c>
      <c r="K31" s="370"/>
    </row>
    <row r="32" spans="3:11" ht="135.6" hidden="1" thickBot="1" x14ac:dyDescent="0.3">
      <c r="C32" s="418" t="s">
        <v>597</v>
      </c>
      <c r="D32" s="419"/>
      <c r="E32" s="419"/>
      <c r="F32" s="420"/>
      <c r="G32" s="369"/>
      <c r="H32" s="370" t="s">
        <v>574</v>
      </c>
      <c r="I32" s="370" t="s">
        <v>561</v>
      </c>
      <c r="J32" s="370" t="s">
        <v>598</v>
      </c>
      <c r="K32" s="370"/>
    </row>
    <row r="33" spans="3:11" ht="105.6" hidden="1" thickBot="1" x14ac:dyDescent="0.3">
      <c r="C33" s="375" t="s">
        <v>599</v>
      </c>
      <c r="D33" s="376"/>
      <c r="E33" s="376"/>
      <c r="F33" s="378"/>
      <c r="G33" s="369"/>
      <c r="H33" s="370" t="s">
        <v>574</v>
      </c>
      <c r="I33" s="370" t="s">
        <v>561</v>
      </c>
      <c r="J33" s="370" t="s">
        <v>600</v>
      </c>
      <c r="K33" s="370"/>
    </row>
    <row r="34" spans="3:11" ht="52.8" thickBot="1" x14ac:dyDescent="0.3">
      <c r="C34" s="403" t="s">
        <v>601</v>
      </c>
      <c r="D34" s="404"/>
      <c r="E34" s="404"/>
      <c r="F34" s="421"/>
      <c r="G34" s="369"/>
      <c r="H34" s="370" t="s">
        <v>578</v>
      </c>
      <c r="I34" s="370" t="s">
        <v>561</v>
      </c>
      <c r="J34" s="370" t="s">
        <v>568</v>
      </c>
      <c r="K34" s="370"/>
    </row>
    <row r="35" spans="3:11" ht="45.6" hidden="1" thickBot="1" x14ac:dyDescent="0.3">
      <c r="C35" s="371" t="s">
        <v>602</v>
      </c>
      <c r="D35" s="372"/>
      <c r="E35" s="372"/>
      <c r="F35" s="374"/>
      <c r="G35" s="369"/>
      <c r="H35" s="370" t="s">
        <v>578</v>
      </c>
      <c r="I35" s="370" t="s">
        <v>561</v>
      </c>
      <c r="J35" s="370" t="s">
        <v>603</v>
      </c>
      <c r="K35" s="370"/>
    </row>
    <row r="36" spans="3:11" ht="90.6" hidden="1" thickBot="1" x14ac:dyDescent="0.3">
      <c r="C36" s="418" t="s">
        <v>593</v>
      </c>
      <c r="D36" s="419"/>
      <c r="E36" s="419"/>
      <c r="F36" s="420"/>
      <c r="G36" s="369"/>
      <c r="H36" s="370" t="s">
        <v>578</v>
      </c>
      <c r="I36" s="370" t="s">
        <v>561</v>
      </c>
      <c r="J36" s="370" t="s">
        <v>604</v>
      </c>
      <c r="K36" s="370"/>
    </row>
    <row r="37" spans="3:11" ht="403.5" hidden="1" customHeight="1" x14ac:dyDescent="0.25">
      <c r="C37" s="418" t="s">
        <v>605</v>
      </c>
      <c r="D37" s="419"/>
      <c r="E37" s="419"/>
      <c r="F37" s="420"/>
      <c r="G37" s="369"/>
      <c r="H37" s="370" t="s">
        <v>578</v>
      </c>
      <c r="I37" s="370" t="s">
        <v>561</v>
      </c>
      <c r="J37" s="370" t="s">
        <v>606</v>
      </c>
      <c r="K37" s="370"/>
    </row>
    <row r="38" spans="3:11" ht="135.6" hidden="1" thickBot="1" x14ac:dyDescent="0.3">
      <c r="C38" s="418" t="s">
        <v>597</v>
      </c>
      <c r="D38" s="419"/>
      <c r="E38" s="419"/>
      <c r="F38" s="420"/>
      <c r="G38" s="369"/>
      <c r="H38" s="370" t="s">
        <v>578</v>
      </c>
      <c r="I38" s="370" t="s">
        <v>561</v>
      </c>
      <c r="J38" s="370" t="s">
        <v>607</v>
      </c>
      <c r="K38" s="370"/>
    </row>
    <row r="39" spans="3:11" ht="105.6" hidden="1" thickBot="1" x14ac:dyDescent="0.3">
      <c r="C39" s="375" t="s">
        <v>599</v>
      </c>
      <c r="D39" s="376"/>
      <c r="E39" s="376"/>
      <c r="F39" s="378"/>
      <c r="G39" s="369"/>
      <c r="H39" s="370" t="s">
        <v>578</v>
      </c>
      <c r="I39" s="370" t="s">
        <v>561</v>
      </c>
      <c r="J39" s="370" t="s">
        <v>608</v>
      </c>
      <c r="K39" s="370"/>
    </row>
    <row r="40" spans="3:11" ht="35.4" thickBot="1" x14ac:dyDescent="0.3">
      <c r="C40" s="403" t="s">
        <v>609</v>
      </c>
      <c r="D40" s="422"/>
      <c r="E40" s="422"/>
      <c r="F40" s="423"/>
      <c r="G40" s="369"/>
      <c r="H40" s="370" t="s">
        <v>560</v>
      </c>
      <c r="I40" s="370" t="s">
        <v>561</v>
      </c>
      <c r="J40" s="370" t="s">
        <v>568</v>
      </c>
      <c r="K40" s="370"/>
    </row>
    <row r="41" spans="3:11" ht="105.6" hidden="1" thickBot="1" x14ac:dyDescent="0.3">
      <c r="C41" s="396" t="s">
        <v>610</v>
      </c>
      <c r="D41" s="411"/>
      <c r="E41" s="411"/>
      <c r="F41" s="412"/>
      <c r="G41" s="369"/>
      <c r="H41" s="370" t="s">
        <v>560</v>
      </c>
      <c r="I41" s="370" t="s">
        <v>561</v>
      </c>
      <c r="J41" s="370" t="s">
        <v>611</v>
      </c>
      <c r="K41" s="370"/>
    </row>
    <row r="42" spans="3:11" ht="52.8" thickBot="1" x14ac:dyDescent="0.3">
      <c r="C42" s="403" t="s">
        <v>612</v>
      </c>
      <c r="D42" s="404"/>
      <c r="E42" s="404"/>
      <c r="F42" s="421"/>
      <c r="G42" s="369"/>
      <c r="H42" s="370" t="s">
        <v>584</v>
      </c>
      <c r="I42" s="370" t="s">
        <v>561</v>
      </c>
      <c r="J42" s="370" t="s">
        <v>568</v>
      </c>
      <c r="K42" s="370"/>
    </row>
    <row r="43" spans="3:11" ht="75.599999999999994" hidden="1" thickBot="1" x14ac:dyDescent="0.3">
      <c r="C43" s="371" t="s">
        <v>591</v>
      </c>
      <c r="D43" s="372"/>
      <c r="E43" s="372"/>
      <c r="F43" s="374"/>
      <c r="G43" s="369"/>
      <c r="H43" s="370" t="s">
        <v>584</v>
      </c>
      <c r="I43" s="370" t="s">
        <v>561</v>
      </c>
      <c r="J43" s="370" t="s">
        <v>613</v>
      </c>
      <c r="K43" s="370"/>
    </row>
    <row r="44" spans="3:11" ht="90.6" hidden="1" thickBot="1" x14ac:dyDescent="0.3">
      <c r="C44" s="418" t="s">
        <v>593</v>
      </c>
      <c r="D44" s="419"/>
      <c r="E44" s="419"/>
      <c r="F44" s="420"/>
      <c r="G44" s="369"/>
      <c r="H44" s="370" t="s">
        <v>584</v>
      </c>
      <c r="I44" s="370" t="s">
        <v>561</v>
      </c>
      <c r="J44" s="370" t="s">
        <v>614</v>
      </c>
      <c r="K44" s="370"/>
    </row>
    <row r="45" spans="3:11" ht="400.5" hidden="1" customHeight="1" x14ac:dyDescent="0.25">
      <c r="C45" s="418" t="s">
        <v>605</v>
      </c>
      <c r="D45" s="419"/>
      <c r="E45" s="419"/>
      <c r="F45" s="420"/>
      <c r="G45" s="369"/>
      <c r="H45" s="370" t="s">
        <v>584</v>
      </c>
      <c r="I45" s="370" t="s">
        <v>561</v>
      </c>
      <c r="J45" s="370" t="s">
        <v>615</v>
      </c>
      <c r="K45" s="370"/>
    </row>
    <row r="46" spans="3:11" ht="135.6" hidden="1" thickBot="1" x14ac:dyDescent="0.3">
      <c r="C46" s="418" t="s">
        <v>597</v>
      </c>
      <c r="D46" s="419"/>
      <c r="E46" s="419"/>
      <c r="F46" s="420"/>
      <c r="G46" s="369"/>
      <c r="H46" s="370" t="s">
        <v>584</v>
      </c>
      <c r="I46" s="370" t="s">
        <v>561</v>
      </c>
      <c r="J46" s="370" t="s">
        <v>616</v>
      </c>
      <c r="K46" s="370"/>
    </row>
    <row r="47" spans="3:11" ht="105.6" hidden="1" thickBot="1" x14ac:dyDescent="0.3">
      <c r="C47" s="375" t="s">
        <v>599</v>
      </c>
      <c r="D47" s="376"/>
      <c r="E47" s="376"/>
      <c r="F47" s="378"/>
      <c r="G47" s="369"/>
      <c r="H47" s="370" t="s">
        <v>584</v>
      </c>
      <c r="I47" s="370" t="s">
        <v>561</v>
      </c>
      <c r="J47" s="370" t="s">
        <v>617</v>
      </c>
      <c r="K47" s="370"/>
    </row>
    <row r="48" spans="3:11" ht="52.8" thickBot="1" x14ac:dyDescent="0.3">
      <c r="C48" s="403" t="s">
        <v>618</v>
      </c>
      <c r="D48" s="404"/>
      <c r="E48" s="404"/>
      <c r="F48" s="421"/>
      <c r="G48" s="369"/>
      <c r="H48" s="370" t="s">
        <v>570</v>
      </c>
      <c r="I48" s="370" t="s">
        <v>561</v>
      </c>
      <c r="J48" s="370" t="s">
        <v>568</v>
      </c>
      <c r="K48" s="370"/>
    </row>
    <row r="49" spans="3:11" ht="75.599999999999994" hidden="1" thickBot="1" x14ac:dyDescent="0.3">
      <c r="C49" s="371" t="s">
        <v>591</v>
      </c>
      <c r="D49" s="372"/>
      <c r="E49" s="372"/>
      <c r="F49" s="374"/>
      <c r="G49" s="369"/>
      <c r="H49" s="370" t="s">
        <v>570</v>
      </c>
      <c r="I49" s="370" t="s">
        <v>561</v>
      </c>
      <c r="J49" s="370" t="s">
        <v>619</v>
      </c>
      <c r="K49" s="370"/>
    </row>
    <row r="50" spans="3:11" ht="90.6" hidden="1" thickBot="1" x14ac:dyDescent="0.3">
      <c r="C50" s="418" t="s">
        <v>593</v>
      </c>
      <c r="D50" s="419"/>
      <c r="E50" s="419"/>
      <c r="F50" s="420"/>
      <c r="G50" s="369"/>
      <c r="H50" s="370" t="s">
        <v>570</v>
      </c>
      <c r="I50" s="370" t="s">
        <v>561</v>
      </c>
      <c r="J50" s="370" t="s">
        <v>620</v>
      </c>
      <c r="K50" s="370"/>
    </row>
    <row r="51" spans="3:11" ht="404.25" hidden="1" customHeight="1" x14ac:dyDescent="0.25">
      <c r="C51" s="418" t="s">
        <v>605</v>
      </c>
      <c r="D51" s="419"/>
      <c r="E51" s="419"/>
      <c r="F51" s="420"/>
      <c r="G51" s="369"/>
      <c r="H51" s="370" t="s">
        <v>570</v>
      </c>
      <c r="I51" s="370" t="s">
        <v>561</v>
      </c>
      <c r="J51" s="370" t="s">
        <v>621</v>
      </c>
      <c r="K51" s="370"/>
    </row>
    <row r="52" spans="3:11" ht="135.6" hidden="1" thickBot="1" x14ac:dyDescent="0.3">
      <c r="C52" s="418" t="s">
        <v>597</v>
      </c>
      <c r="D52" s="419"/>
      <c r="E52" s="419"/>
      <c r="F52" s="420"/>
      <c r="G52" s="369"/>
      <c r="H52" s="370" t="s">
        <v>570</v>
      </c>
      <c r="I52" s="370" t="s">
        <v>561</v>
      </c>
      <c r="J52" s="370" t="s">
        <v>622</v>
      </c>
      <c r="K52" s="370"/>
    </row>
    <row r="53" spans="3:11" ht="105.6" hidden="1" thickBot="1" x14ac:dyDescent="0.3">
      <c r="C53" s="375" t="s">
        <v>599</v>
      </c>
      <c r="D53" s="376"/>
      <c r="E53" s="376"/>
      <c r="F53" s="378"/>
      <c r="G53" s="369"/>
      <c r="H53" s="370" t="s">
        <v>570</v>
      </c>
      <c r="I53" s="370" t="s">
        <v>561</v>
      </c>
      <c r="J53" s="370" t="s">
        <v>623</v>
      </c>
      <c r="K53" s="370"/>
    </row>
    <row r="54" spans="3:11" ht="23.25" customHeight="1" x14ac:dyDescent="0.25">
      <c r="C54" s="424" t="s">
        <v>624</v>
      </c>
      <c r="D54" s="425"/>
      <c r="E54" s="426"/>
      <c r="F54" s="427"/>
      <c r="G54" s="369"/>
      <c r="H54" s="370" t="s">
        <v>560</v>
      </c>
      <c r="I54" s="370" t="s">
        <v>561</v>
      </c>
      <c r="J54" s="370" t="s">
        <v>562</v>
      </c>
      <c r="K54" s="370"/>
    </row>
    <row r="55" spans="3:11" ht="39.9" customHeight="1" thickBot="1" x14ac:dyDescent="0.3">
      <c r="C55" s="428" t="s">
        <v>625</v>
      </c>
      <c r="D55" s="429"/>
      <c r="E55" s="430"/>
      <c r="F55" s="431"/>
      <c r="G55" s="370"/>
      <c r="H55" s="370" t="s">
        <v>560</v>
      </c>
      <c r="I55" s="370" t="s">
        <v>561</v>
      </c>
      <c r="J55" s="370" t="s">
        <v>562</v>
      </c>
      <c r="K55" s="370" t="s">
        <v>626</v>
      </c>
    </row>
    <row r="56" spans="3:11" ht="105" hidden="1" x14ac:dyDescent="0.25">
      <c r="C56" s="396" t="s">
        <v>627</v>
      </c>
      <c r="D56" s="411"/>
      <c r="E56" s="411"/>
      <c r="F56" s="412"/>
      <c r="G56" s="369"/>
      <c r="H56" s="370" t="s">
        <v>560</v>
      </c>
      <c r="I56" s="370" t="s">
        <v>561</v>
      </c>
      <c r="J56" s="370" t="s">
        <v>628</v>
      </c>
      <c r="K56" s="370" t="s">
        <v>626</v>
      </c>
    </row>
    <row r="57" spans="3:11" ht="30" x14ac:dyDescent="0.25">
      <c r="C57" s="432" t="s">
        <v>629</v>
      </c>
      <c r="D57" s="433"/>
      <c r="E57" s="434"/>
      <c r="F57" s="435"/>
      <c r="G57" s="370"/>
      <c r="H57" s="370" t="s">
        <v>560</v>
      </c>
      <c r="I57" s="370" t="s">
        <v>561</v>
      </c>
      <c r="J57" s="370" t="s">
        <v>568</v>
      </c>
      <c r="K57" s="370" t="s">
        <v>626</v>
      </c>
    </row>
    <row r="58" spans="3:11" ht="30" x14ac:dyDescent="0.25">
      <c r="C58" s="432" t="s">
        <v>630</v>
      </c>
      <c r="D58" s="433"/>
      <c r="E58" s="434"/>
      <c r="F58" s="435"/>
      <c r="G58" s="370"/>
      <c r="H58" s="370" t="s">
        <v>560</v>
      </c>
      <c r="I58" s="370" t="s">
        <v>561</v>
      </c>
      <c r="J58" s="370" t="s">
        <v>568</v>
      </c>
      <c r="K58" s="370" t="s">
        <v>626</v>
      </c>
    </row>
    <row r="59" spans="3:11" ht="45.9" customHeight="1" x14ac:dyDescent="0.25">
      <c r="C59" s="436" t="s">
        <v>631</v>
      </c>
      <c r="D59" s="433"/>
      <c r="E59" s="434"/>
      <c r="F59" s="435"/>
      <c r="G59" s="370"/>
      <c r="H59" s="370" t="s">
        <v>574</v>
      </c>
      <c r="I59" s="370" t="s">
        <v>561</v>
      </c>
      <c r="J59" s="370" t="s">
        <v>568</v>
      </c>
      <c r="K59" s="370" t="s">
        <v>626</v>
      </c>
    </row>
    <row r="60" spans="3:11" ht="75" hidden="1" x14ac:dyDescent="0.25">
      <c r="C60" s="396" t="s">
        <v>632</v>
      </c>
      <c r="D60" s="419"/>
      <c r="E60" s="437"/>
      <c r="F60" s="420"/>
      <c r="G60" s="370"/>
      <c r="H60" s="370" t="s">
        <v>560</v>
      </c>
      <c r="I60" s="370" t="s">
        <v>561</v>
      </c>
      <c r="J60" s="370" t="s">
        <v>633</v>
      </c>
      <c r="K60" s="370" t="s">
        <v>626</v>
      </c>
    </row>
    <row r="61" spans="3:11" ht="36.9" customHeight="1" x14ac:dyDescent="0.25">
      <c r="C61" s="436" t="s">
        <v>634</v>
      </c>
      <c r="D61" s="433"/>
      <c r="E61" s="434"/>
      <c r="F61" s="435"/>
      <c r="G61" s="370"/>
      <c r="H61" s="370" t="s">
        <v>560</v>
      </c>
      <c r="I61" s="370" t="s">
        <v>561</v>
      </c>
      <c r="J61" s="370" t="s">
        <v>568</v>
      </c>
      <c r="K61" s="370" t="s">
        <v>626</v>
      </c>
    </row>
    <row r="62" spans="3:11" ht="255" hidden="1" x14ac:dyDescent="0.25">
      <c r="C62" s="396" t="s">
        <v>635</v>
      </c>
      <c r="D62" s="419"/>
      <c r="E62" s="437"/>
      <c r="F62" s="420"/>
      <c r="G62" s="370"/>
      <c r="H62" s="370" t="s">
        <v>560</v>
      </c>
      <c r="I62" s="370" t="s">
        <v>561</v>
      </c>
      <c r="J62" s="370" t="s">
        <v>636</v>
      </c>
      <c r="K62" s="370" t="s">
        <v>626</v>
      </c>
    </row>
    <row r="63" spans="3:11" ht="20.399999999999999" x14ac:dyDescent="0.25">
      <c r="C63" s="432" t="s">
        <v>637</v>
      </c>
      <c r="D63" s="433"/>
      <c r="E63" s="434"/>
      <c r="F63" s="435"/>
      <c r="G63" s="370"/>
      <c r="H63" s="370" t="s">
        <v>560</v>
      </c>
      <c r="I63" s="370" t="s">
        <v>561</v>
      </c>
      <c r="J63" s="370" t="s">
        <v>568</v>
      </c>
      <c r="K63" s="370" t="s">
        <v>626</v>
      </c>
    </row>
    <row r="64" spans="3:11" ht="20.399999999999999" x14ac:dyDescent="0.25">
      <c r="C64" s="432" t="s">
        <v>638</v>
      </c>
      <c r="D64" s="433"/>
      <c r="E64" s="434"/>
      <c r="F64" s="435"/>
      <c r="G64" s="370"/>
      <c r="H64" s="370" t="s">
        <v>560</v>
      </c>
      <c r="I64" s="370" t="s">
        <v>561</v>
      </c>
      <c r="J64" s="370" t="s">
        <v>568</v>
      </c>
      <c r="K64" s="370" t="s">
        <v>626</v>
      </c>
    </row>
    <row r="65" spans="3:11" ht="31.2" thickBot="1" x14ac:dyDescent="0.3">
      <c r="C65" s="428" t="s">
        <v>639</v>
      </c>
      <c r="D65" s="429"/>
      <c r="E65" s="430"/>
      <c r="F65" s="431"/>
      <c r="G65" s="370"/>
      <c r="H65" s="370" t="s">
        <v>560</v>
      </c>
      <c r="I65" s="370" t="s">
        <v>561</v>
      </c>
      <c r="J65" s="370" t="s">
        <v>562</v>
      </c>
      <c r="K65" s="370" t="s">
        <v>640</v>
      </c>
    </row>
    <row r="66" spans="3:11" ht="20.399999999999999" x14ac:dyDescent="0.25">
      <c r="C66" s="379" t="s">
        <v>641</v>
      </c>
      <c r="D66" s="438"/>
      <c r="E66" s="438"/>
      <c r="F66" s="439"/>
      <c r="G66" s="369"/>
      <c r="H66" s="370" t="s">
        <v>560</v>
      </c>
      <c r="I66" s="370" t="s">
        <v>561</v>
      </c>
      <c r="J66" s="370" t="s">
        <v>568</v>
      </c>
      <c r="K66" s="370" t="s">
        <v>640</v>
      </c>
    </row>
    <row r="67" spans="3:11" ht="30" x14ac:dyDescent="0.25">
      <c r="C67" s="383" t="s">
        <v>642</v>
      </c>
      <c r="D67" s="387"/>
      <c r="E67" s="387"/>
      <c r="F67" s="388"/>
      <c r="G67" s="369"/>
      <c r="H67" s="370" t="s">
        <v>560</v>
      </c>
      <c r="I67" s="370" t="s">
        <v>561</v>
      </c>
      <c r="J67" s="370" t="s">
        <v>568</v>
      </c>
      <c r="K67" s="370" t="s">
        <v>640</v>
      </c>
    </row>
    <row r="68" spans="3:11" ht="50.4" thickBot="1" x14ac:dyDescent="0.3">
      <c r="C68" s="391" t="s">
        <v>643</v>
      </c>
      <c r="D68" s="440"/>
      <c r="E68" s="440"/>
      <c r="F68" s="441"/>
      <c r="G68" s="369"/>
      <c r="H68" s="370" t="s">
        <v>574</v>
      </c>
      <c r="I68" s="370" t="s">
        <v>561</v>
      </c>
      <c r="J68" s="370" t="s">
        <v>568</v>
      </c>
      <c r="K68" s="370" t="s">
        <v>640</v>
      </c>
    </row>
    <row r="69" spans="3:11" ht="75.599999999999994" hidden="1" thickBot="1" x14ac:dyDescent="0.3">
      <c r="C69" s="396" t="s">
        <v>644</v>
      </c>
      <c r="D69" s="411"/>
      <c r="E69" s="411"/>
      <c r="F69" s="412"/>
      <c r="G69" s="369"/>
      <c r="H69" s="370" t="s">
        <v>574</v>
      </c>
      <c r="I69" s="370" t="s">
        <v>561</v>
      </c>
      <c r="J69" s="370" t="s">
        <v>645</v>
      </c>
      <c r="K69" s="370" t="s">
        <v>640</v>
      </c>
    </row>
    <row r="70" spans="3:11" ht="91.5" customHeight="1" thickBot="1" x14ac:dyDescent="0.3">
      <c r="C70" s="403" t="s">
        <v>646</v>
      </c>
      <c r="D70" s="442"/>
      <c r="E70" s="442"/>
      <c r="F70" s="443"/>
      <c r="G70" s="369"/>
      <c r="H70" s="370" t="s">
        <v>560</v>
      </c>
      <c r="I70" s="370" t="s">
        <v>561</v>
      </c>
      <c r="J70" s="370" t="s">
        <v>568</v>
      </c>
      <c r="K70" s="370" t="s">
        <v>640</v>
      </c>
    </row>
    <row r="71" spans="3:11" ht="150.6" hidden="1" thickBot="1" x14ac:dyDescent="0.3">
      <c r="C71" s="396" t="s">
        <v>647</v>
      </c>
      <c r="D71" s="411"/>
      <c r="E71" s="411"/>
      <c r="F71" s="412"/>
      <c r="G71" s="369"/>
      <c r="H71" s="370" t="s">
        <v>560</v>
      </c>
      <c r="I71" s="370" t="s">
        <v>561</v>
      </c>
      <c r="J71" s="370" t="s">
        <v>648</v>
      </c>
      <c r="K71" s="370" t="s">
        <v>640</v>
      </c>
    </row>
    <row r="72" spans="3:11" ht="50.4" thickBot="1" x14ac:dyDescent="0.3">
      <c r="C72" s="403" t="s">
        <v>649</v>
      </c>
      <c r="D72" s="442"/>
      <c r="E72" s="442"/>
      <c r="F72" s="443"/>
      <c r="G72" s="369"/>
      <c r="H72" s="370" t="s">
        <v>560</v>
      </c>
      <c r="I72" s="370" t="s">
        <v>561</v>
      </c>
      <c r="J72" s="370" t="s">
        <v>568</v>
      </c>
      <c r="K72" s="370" t="s">
        <v>640</v>
      </c>
    </row>
    <row r="73" spans="3:11" ht="255.6" hidden="1" thickBot="1" x14ac:dyDescent="0.3">
      <c r="C73" s="396" t="s">
        <v>635</v>
      </c>
      <c r="D73" s="411"/>
      <c r="E73" s="411"/>
      <c r="F73" s="412"/>
      <c r="G73" s="369"/>
      <c r="H73" s="370" t="s">
        <v>560</v>
      </c>
      <c r="I73" s="370" t="s">
        <v>561</v>
      </c>
      <c r="J73" s="370" t="s">
        <v>650</v>
      </c>
      <c r="K73" s="370" t="s">
        <v>640</v>
      </c>
    </row>
    <row r="74" spans="3:11" ht="47.25" customHeight="1" x14ac:dyDescent="0.25">
      <c r="C74" s="444" t="s">
        <v>651</v>
      </c>
      <c r="D74" s="438"/>
      <c r="E74" s="438"/>
      <c r="F74" s="439"/>
      <c r="G74" s="369"/>
      <c r="H74" s="370" t="s">
        <v>560</v>
      </c>
      <c r="I74" s="370" t="s">
        <v>561</v>
      </c>
      <c r="J74" s="370" t="s">
        <v>568</v>
      </c>
      <c r="K74" s="370" t="s">
        <v>640</v>
      </c>
    </row>
    <row r="75" spans="3:11" ht="54.6" hidden="1" customHeight="1" x14ac:dyDescent="0.25">
      <c r="C75" s="396" t="s">
        <v>652</v>
      </c>
      <c r="D75" s="433"/>
      <c r="E75" s="434"/>
      <c r="F75" s="435"/>
      <c r="G75" s="370"/>
      <c r="H75" s="370" t="s">
        <v>560</v>
      </c>
      <c r="I75" s="370" t="s">
        <v>561</v>
      </c>
      <c r="J75" s="370" t="s">
        <v>653</v>
      </c>
      <c r="K75" s="370" t="s">
        <v>640</v>
      </c>
    </row>
    <row r="76" spans="3:11" ht="56.25" customHeight="1" x14ac:dyDescent="0.25">
      <c r="C76" s="445" t="s">
        <v>654</v>
      </c>
      <c r="D76" s="433"/>
      <c r="E76" s="433"/>
      <c r="F76" s="446"/>
      <c r="G76" s="369"/>
      <c r="H76" s="370" t="s">
        <v>560</v>
      </c>
      <c r="I76" s="370" t="s">
        <v>561</v>
      </c>
      <c r="J76" s="370" t="s">
        <v>568</v>
      </c>
      <c r="K76" s="370" t="s">
        <v>640</v>
      </c>
    </row>
    <row r="77" spans="3:11" ht="75" hidden="1" x14ac:dyDescent="0.25">
      <c r="C77" s="396" t="s">
        <v>655</v>
      </c>
      <c r="D77" s="433"/>
      <c r="E77" s="434"/>
      <c r="F77" s="435"/>
      <c r="G77" s="370"/>
      <c r="H77" s="370" t="s">
        <v>560</v>
      </c>
      <c r="I77" s="370" t="s">
        <v>561</v>
      </c>
      <c r="J77" s="370" t="s">
        <v>656</v>
      </c>
      <c r="K77" s="370" t="s">
        <v>640</v>
      </c>
    </row>
    <row r="78" spans="3:11" ht="50.4" thickBot="1" x14ac:dyDescent="0.3">
      <c r="C78" s="391" t="s">
        <v>657</v>
      </c>
      <c r="D78" s="440"/>
      <c r="E78" s="440"/>
      <c r="F78" s="441"/>
      <c r="G78" s="369"/>
      <c r="H78" s="370" t="s">
        <v>560</v>
      </c>
      <c r="I78" s="370" t="s">
        <v>561</v>
      </c>
      <c r="J78" s="370" t="s">
        <v>568</v>
      </c>
      <c r="K78" s="370" t="s">
        <v>640</v>
      </c>
    </row>
    <row r="79" spans="3:11" ht="60.6" hidden="1" thickBot="1" x14ac:dyDescent="0.3">
      <c r="C79" s="396" t="s">
        <v>658</v>
      </c>
      <c r="D79" s="411"/>
      <c r="E79" s="411"/>
      <c r="F79" s="412"/>
      <c r="G79" s="369"/>
      <c r="H79" s="370" t="s">
        <v>560</v>
      </c>
      <c r="I79" s="370" t="s">
        <v>561</v>
      </c>
      <c r="J79" s="370" t="s">
        <v>659</v>
      </c>
      <c r="K79" s="370" t="s">
        <v>640</v>
      </c>
    </row>
    <row r="80" spans="3:11" ht="30" x14ac:dyDescent="0.25">
      <c r="C80" s="379" t="s">
        <v>660</v>
      </c>
      <c r="D80" s="438"/>
      <c r="E80" s="438"/>
      <c r="F80" s="439"/>
      <c r="G80" s="369"/>
      <c r="H80" s="370" t="s">
        <v>560</v>
      </c>
      <c r="I80" s="370" t="s">
        <v>561</v>
      </c>
      <c r="J80" s="370" t="s">
        <v>568</v>
      </c>
      <c r="K80" s="370" t="s">
        <v>640</v>
      </c>
    </row>
    <row r="81" spans="3:11" ht="20.399999999999999" x14ac:dyDescent="0.25">
      <c r="C81" s="383" t="s">
        <v>661</v>
      </c>
      <c r="D81" s="433"/>
      <c r="E81" s="433"/>
      <c r="F81" s="446"/>
      <c r="G81" s="369"/>
      <c r="H81" s="370" t="s">
        <v>560</v>
      </c>
      <c r="I81" s="370" t="s">
        <v>561</v>
      </c>
      <c r="J81" s="370" t="s">
        <v>568</v>
      </c>
      <c r="K81" s="370" t="s">
        <v>640</v>
      </c>
    </row>
    <row r="82" spans="3:11" ht="50.4" thickBot="1" x14ac:dyDescent="0.3">
      <c r="C82" s="391" t="s">
        <v>662</v>
      </c>
      <c r="D82" s="440"/>
      <c r="E82" s="440"/>
      <c r="F82" s="441"/>
      <c r="G82" s="369"/>
      <c r="H82" s="370" t="s">
        <v>560</v>
      </c>
      <c r="I82" s="370" t="s">
        <v>561</v>
      </c>
      <c r="J82" s="370" t="s">
        <v>568</v>
      </c>
      <c r="K82" s="370" t="s">
        <v>640</v>
      </c>
    </row>
    <row r="83" spans="3:11" ht="83.85" hidden="1" customHeight="1" thickBot="1" x14ac:dyDescent="0.3">
      <c r="C83" s="396" t="s">
        <v>663</v>
      </c>
      <c r="D83" s="411"/>
      <c r="E83" s="411"/>
      <c r="F83" s="412"/>
      <c r="G83" s="369"/>
      <c r="H83" s="370" t="s">
        <v>560</v>
      </c>
      <c r="I83" s="370" t="s">
        <v>561</v>
      </c>
      <c r="J83" s="370" t="s">
        <v>664</v>
      </c>
      <c r="K83" s="370" t="s">
        <v>640</v>
      </c>
    </row>
    <row r="84" spans="3:11" ht="20.399999999999999" x14ac:dyDescent="0.25">
      <c r="C84" s="379" t="s">
        <v>665</v>
      </c>
      <c r="D84" s="438"/>
      <c r="E84" s="438"/>
      <c r="F84" s="439"/>
      <c r="G84" s="369"/>
      <c r="H84" s="370" t="s">
        <v>560</v>
      </c>
      <c r="I84" s="370" t="s">
        <v>561</v>
      </c>
      <c r="J84" s="370" t="s">
        <v>568</v>
      </c>
      <c r="K84" s="370" t="s">
        <v>640</v>
      </c>
    </row>
    <row r="85" spans="3:11" ht="20.399999999999999" x14ac:dyDescent="0.3">
      <c r="C85" s="386" t="s">
        <v>666</v>
      </c>
      <c r="D85" s="389"/>
      <c r="E85" s="389"/>
      <c r="F85" s="388"/>
      <c r="G85" s="369"/>
      <c r="H85" s="370" t="s">
        <v>560</v>
      </c>
      <c r="I85" s="370" t="s">
        <v>667</v>
      </c>
      <c r="J85" s="370" t="s">
        <v>562</v>
      </c>
      <c r="K85" s="370"/>
    </row>
    <row r="86" spans="3:11" ht="60" x14ac:dyDescent="0.25">
      <c r="C86" s="383" t="s">
        <v>668</v>
      </c>
      <c r="D86" s="420" t="s">
        <v>40</v>
      </c>
      <c r="E86" s="433"/>
      <c r="F86" s="446"/>
      <c r="G86" s="369"/>
      <c r="H86" s="370" t="s">
        <v>560</v>
      </c>
      <c r="I86" s="370" t="s">
        <v>667</v>
      </c>
      <c r="J86" s="370" t="s">
        <v>568</v>
      </c>
      <c r="K86" s="370"/>
    </row>
    <row r="87" spans="3:11" ht="30" x14ac:dyDescent="0.25">
      <c r="C87" s="383" t="s">
        <v>669</v>
      </c>
      <c r="D87" s="420" t="s">
        <v>40</v>
      </c>
      <c r="E87" s="433"/>
      <c r="F87" s="446"/>
      <c r="G87" s="369"/>
      <c r="H87" s="370" t="s">
        <v>560</v>
      </c>
      <c r="I87" s="370" t="s">
        <v>667</v>
      </c>
      <c r="J87" s="370" t="s">
        <v>568</v>
      </c>
      <c r="K87" s="370"/>
    </row>
    <row r="88" spans="3:11" ht="30" x14ac:dyDescent="0.25">
      <c r="C88" s="383" t="s">
        <v>670</v>
      </c>
      <c r="D88" s="420" t="s">
        <v>40</v>
      </c>
      <c r="E88" s="433"/>
      <c r="F88" s="446"/>
      <c r="G88" s="369"/>
      <c r="H88" s="370" t="s">
        <v>560</v>
      </c>
      <c r="I88" s="370" t="s">
        <v>667</v>
      </c>
      <c r="J88" s="370" t="s">
        <v>568</v>
      </c>
      <c r="K88" s="370"/>
    </row>
    <row r="89" spans="3:11" ht="30" x14ac:dyDescent="0.25">
      <c r="C89" s="383" t="s">
        <v>671</v>
      </c>
      <c r="D89" s="420" t="s">
        <v>40</v>
      </c>
      <c r="E89" s="433"/>
      <c r="F89" s="446"/>
      <c r="G89" s="369"/>
      <c r="H89" s="370" t="s">
        <v>560</v>
      </c>
      <c r="I89" s="370" t="s">
        <v>667</v>
      </c>
      <c r="J89" s="370" t="s">
        <v>568</v>
      </c>
      <c r="K89" s="370"/>
    </row>
    <row r="90" spans="3:11" ht="45" x14ac:dyDescent="0.25">
      <c r="C90" s="383" t="s">
        <v>672</v>
      </c>
      <c r="D90" s="420" t="s">
        <v>40</v>
      </c>
      <c r="E90" s="433"/>
      <c r="F90" s="446"/>
      <c r="G90" s="369"/>
      <c r="H90" s="370" t="s">
        <v>560</v>
      </c>
      <c r="I90" s="370" t="s">
        <v>667</v>
      </c>
      <c r="J90" s="370" t="s">
        <v>568</v>
      </c>
      <c r="K90" s="370"/>
    </row>
    <row r="91" spans="3:11" ht="35.4" thickBot="1" x14ac:dyDescent="0.3">
      <c r="C91" s="391" t="s">
        <v>673</v>
      </c>
      <c r="D91" s="447" t="s">
        <v>40</v>
      </c>
      <c r="E91" s="440"/>
      <c r="F91" s="441"/>
      <c r="G91" s="369"/>
      <c r="H91" s="370" t="s">
        <v>560</v>
      </c>
      <c r="I91" s="370" t="s">
        <v>667</v>
      </c>
      <c r="J91" s="370" t="s">
        <v>568</v>
      </c>
      <c r="K91" s="370"/>
    </row>
    <row r="92" spans="3:11" ht="60.6" hidden="1" thickBot="1" x14ac:dyDescent="0.3">
      <c r="C92" s="396" t="s">
        <v>674</v>
      </c>
      <c r="D92" s="411"/>
      <c r="E92" s="411"/>
      <c r="F92" s="412"/>
      <c r="G92" s="369"/>
      <c r="H92" s="370" t="s">
        <v>560</v>
      </c>
      <c r="I92" s="370" t="s">
        <v>667</v>
      </c>
      <c r="J92" s="400" t="s">
        <v>675</v>
      </c>
      <c r="K92" s="370"/>
    </row>
    <row r="93" spans="3:11" ht="48.9" customHeight="1" x14ac:dyDescent="0.25">
      <c r="C93" s="444" t="s">
        <v>676</v>
      </c>
      <c r="D93" s="448" t="s">
        <v>40</v>
      </c>
      <c r="E93" s="438"/>
      <c r="F93" s="439"/>
      <c r="G93" s="369"/>
      <c r="H93" s="370" t="s">
        <v>560</v>
      </c>
      <c r="I93" s="370" t="s">
        <v>667</v>
      </c>
      <c r="J93" s="370" t="s">
        <v>568</v>
      </c>
      <c r="K93" s="370"/>
    </row>
    <row r="94" spans="3:11" ht="75" hidden="1" x14ac:dyDescent="0.25">
      <c r="C94" s="396" t="s">
        <v>677</v>
      </c>
      <c r="D94" s="433"/>
      <c r="E94" s="434"/>
      <c r="F94" s="435"/>
      <c r="G94" s="370"/>
      <c r="H94" s="370" t="s">
        <v>560</v>
      </c>
      <c r="I94" s="370" t="s">
        <v>667</v>
      </c>
      <c r="J94" s="400" t="s">
        <v>678</v>
      </c>
      <c r="K94" s="370"/>
    </row>
    <row r="95" spans="3:11" ht="50.4" thickBot="1" x14ac:dyDescent="0.3">
      <c r="C95" s="391" t="s">
        <v>679</v>
      </c>
      <c r="D95" s="447" t="s">
        <v>40</v>
      </c>
      <c r="E95" s="440"/>
      <c r="F95" s="441"/>
      <c r="G95" s="369"/>
      <c r="H95" s="370" t="s">
        <v>560</v>
      </c>
      <c r="I95" s="370" t="s">
        <v>667</v>
      </c>
      <c r="J95" s="370" t="s">
        <v>568</v>
      </c>
      <c r="K95" s="370"/>
    </row>
    <row r="96" spans="3:11" ht="75.599999999999994" hidden="1" thickBot="1" x14ac:dyDescent="0.3">
      <c r="C96" s="396" t="s">
        <v>680</v>
      </c>
      <c r="D96" s="411"/>
      <c r="E96" s="411"/>
      <c r="F96" s="412"/>
      <c r="G96" s="369"/>
      <c r="H96" s="370" t="s">
        <v>560</v>
      </c>
      <c r="I96" s="370" t="s">
        <v>667</v>
      </c>
      <c r="J96" s="400" t="s">
        <v>681</v>
      </c>
      <c r="K96" s="370"/>
    </row>
    <row r="97" spans="3:11" ht="45" x14ac:dyDescent="0.25">
      <c r="C97" s="379" t="s">
        <v>682</v>
      </c>
      <c r="D97" s="448" t="s">
        <v>40</v>
      </c>
      <c r="E97" s="438"/>
      <c r="F97" s="439"/>
      <c r="G97" s="369"/>
      <c r="H97" s="370" t="s">
        <v>560</v>
      </c>
      <c r="I97" s="370" t="s">
        <v>667</v>
      </c>
      <c r="J97" s="370" t="s">
        <v>568</v>
      </c>
      <c r="K97" s="370"/>
    </row>
    <row r="98" spans="3:11" ht="65.400000000000006" thickBot="1" x14ac:dyDescent="0.3">
      <c r="C98" s="391" t="s">
        <v>683</v>
      </c>
      <c r="D98" s="447" t="s">
        <v>40</v>
      </c>
      <c r="E98" s="440"/>
      <c r="F98" s="441"/>
      <c r="G98" s="369"/>
      <c r="H98" s="370" t="s">
        <v>560</v>
      </c>
      <c r="I98" s="370" t="s">
        <v>667</v>
      </c>
      <c r="J98" s="370" t="s">
        <v>568</v>
      </c>
      <c r="K98" s="370"/>
    </row>
    <row r="99" spans="3:11" ht="105.6" hidden="1" thickBot="1" x14ac:dyDescent="0.3">
      <c r="C99" s="371" t="s">
        <v>684</v>
      </c>
      <c r="D99" s="372"/>
      <c r="E99" s="372"/>
      <c r="F99" s="374"/>
      <c r="G99" s="369"/>
      <c r="H99" s="370" t="s">
        <v>560</v>
      </c>
      <c r="I99" s="370" t="s">
        <v>667</v>
      </c>
      <c r="J99" s="400" t="s">
        <v>685</v>
      </c>
      <c r="K99" s="370"/>
    </row>
    <row r="100" spans="3:11" ht="45.6" hidden="1" thickBot="1" x14ac:dyDescent="0.3">
      <c r="C100" s="375" t="s">
        <v>686</v>
      </c>
      <c r="D100" s="376"/>
      <c r="E100" s="376"/>
      <c r="F100" s="378"/>
      <c r="G100" s="369"/>
      <c r="H100" s="370" t="s">
        <v>560</v>
      </c>
      <c r="I100" s="370" t="s">
        <v>667</v>
      </c>
      <c r="J100" s="400" t="s">
        <v>687</v>
      </c>
      <c r="K100" s="370"/>
    </row>
    <row r="101" spans="3:11" ht="30" x14ac:dyDescent="0.25">
      <c r="C101" s="379" t="s">
        <v>688</v>
      </c>
      <c r="D101" s="448" t="s">
        <v>40</v>
      </c>
      <c r="E101" s="438"/>
      <c r="F101" s="439"/>
      <c r="G101" s="369"/>
      <c r="H101" s="370" t="s">
        <v>560</v>
      </c>
      <c r="I101" s="370" t="s">
        <v>667</v>
      </c>
      <c r="J101" s="370" t="s">
        <v>568</v>
      </c>
      <c r="K101" s="370"/>
    </row>
    <row r="102" spans="3:11" ht="20.399999999999999" x14ac:dyDescent="0.25">
      <c r="C102" s="383" t="s">
        <v>689</v>
      </c>
      <c r="D102" s="420" t="s">
        <v>40</v>
      </c>
      <c r="E102" s="433"/>
      <c r="F102" s="446"/>
      <c r="G102" s="369"/>
      <c r="H102" s="370" t="s">
        <v>560</v>
      </c>
      <c r="I102" s="370" t="s">
        <v>667</v>
      </c>
      <c r="J102" s="370" t="s">
        <v>568</v>
      </c>
      <c r="K102" s="370"/>
    </row>
    <row r="103" spans="3:11" ht="93" thickBot="1" x14ac:dyDescent="0.3">
      <c r="C103" s="391" t="s">
        <v>690</v>
      </c>
      <c r="D103" s="447" t="s">
        <v>40</v>
      </c>
      <c r="E103" s="440"/>
      <c r="F103" s="441"/>
      <c r="G103" s="369"/>
      <c r="H103" s="370" t="s">
        <v>560</v>
      </c>
      <c r="I103" s="370" t="s">
        <v>667</v>
      </c>
      <c r="J103" s="370" t="s">
        <v>568</v>
      </c>
      <c r="K103" s="370"/>
    </row>
    <row r="104" spans="3:11" ht="150.6" hidden="1" thickBot="1" x14ac:dyDescent="0.3">
      <c r="C104" s="396" t="s">
        <v>691</v>
      </c>
      <c r="D104" s="411"/>
      <c r="E104" s="411"/>
      <c r="F104" s="412"/>
      <c r="G104" s="369"/>
      <c r="H104" s="370" t="s">
        <v>560</v>
      </c>
      <c r="I104" s="370" t="s">
        <v>667</v>
      </c>
      <c r="J104" s="400" t="s">
        <v>692</v>
      </c>
      <c r="K104" s="370"/>
    </row>
    <row r="105" spans="3:11" ht="20.399999999999999" x14ac:dyDescent="0.25">
      <c r="C105" s="379" t="s">
        <v>693</v>
      </c>
      <c r="D105" s="448" t="s">
        <v>40</v>
      </c>
      <c r="E105" s="438"/>
      <c r="F105" s="439"/>
      <c r="G105" s="369"/>
      <c r="H105" s="370" t="s">
        <v>560</v>
      </c>
      <c r="I105" s="370" t="s">
        <v>667</v>
      </c>
      <c r="J105" s="370" t="s">
        <v>568</v>
      </c>
      <c r="K105" s="370"/>
    </row>
    <row r="106" spans="3:11" ht="35.4" thickBot="1" x14ac:dyDescent="0.3">
      <c r="C106" s="391" t="s">
        <v>694</v>
      </c>
      <c r="D106" s="447" t="s">
        <v>40</v>
      </c>
      <c r="E106" s="440"/>
      <c r="F106" s="441"/>
      <c r="G106" s="369"/>
      <c r="H106" s="370" t="s">
        <v>574</v>
      </c>
      <c r="I106" s="370" t="s">
        <v>667</v>
      </c>
      <c r="J106" s="370" t="s">
        <v>568</v>
      </c>
      <c r="K106" s="370"/>
    </row>
    <row r="107" spans="3:11" ht="87.9" hidden="1" customHeight="1" thickBot="1" x14ac:dyDescent="0.3">
      <c r="C107" s="396" t="s">
        <v>695</v>
      </c>
      <c r="D107" s="411"/>
      <c r="E107" s="411"/>
      <c r="F107" s="412"/>
      <c r="G107" s="369"/>
      <c r="H107" s="370" t="s">
        <v>574</v>
      </c>
      <c r="I107" s="370" t="s">
        <v>667</v>
      </c>
      <c r="J107" s="400" t="s">
        <v>696</v>
      </c>
      <c r="K107" s="370"/>
    </row>
    <row r="108" spans="3:11" ht="30" x14ac:dyDescent="0.25">
      <c r="C108" s="379" t="s">
        <v>697</v>
      </c>
      <c r="D108" s="448" t="s">
        <v>40</v>
      </c>
      <c r="E108" s="438"/>
      <c r="F108" s="439"/>
      <c r="G108" s="369"/>
      <c r="H108" s="370" t="s">
        <v>560</v>
      </c>
      <c r="I108" s="370" t="s">
        <v>667</v>
      </c>
      <c r="J108" s="370" t="s">
        <v>568</v>
      </c>
      <c r="K108" s="370"/>
    </row>
    <row r="109" spans="3:11" ht="30" x14ac:dyDescent="0.25">
      <c r="C109" s="383" t="s">
        <v>698</v>
      </c>
      <c r="D109" s="420" t="s">
        <v>40</v>
      </c>
      <c r="E109" s="433"/>
      <c r="F109" s="446"/>
      <c r="G109" s="369"/>
      <c r="H109" s="370" t="s">
        <v>560</v>
      </c>
      <c r="I109" s="370" t="s">
        <v>667</v>
      </c>
      <c r="J109" s="370" t="s">
        <v>568</v>
      </c>
      <c r="K109" s="370"/>
    </row>
    <row r="110" spans="3:11" ht="30" x14ac:dyDescent="0.25">
      <c r="C110" s="383" t="s">
        <v>699</v>
      </c>
      <c r="D110" s="420" t="s">
        <v>40</v>
      </c>
      <c r="E110" s="433"/>
      <c r="F110" s="446"/>
      <c r="G110" s="369"/>
      <c r="H110" s="370" t="s">
        <v>560</v>
      </c>
      <c r="I110" s="370" t="s">
        <v>667</v>
      </c>
      <c r="J110" s="370" t="s">
        <v>568</v>
      </c>
      <c r="K110" s="370"/>
    </row>
    <row r="111" spans="3:11" ht="30" x14ac:dyDescent="0.25">
      <c r="C111" s="383" t="s">
        <v>700</v>
      </c>
      <c r="D111" s="420" t="s">
        <v>40</v>
      </c>
      <c r="E111" s="433"/>
      <c r="F111" s="446"/>
      <c r="G111" s="369"/>
      <c r="H111" s="370" t="s">
        <v>560</v>
      </c>
      <c r="I111" s="370" t="s">
        <v>667</v>
      </c>
      <c r="J111" s="370" t="s">
        <v>568</v>
      </c>
      <c r="K111" s="370"/>
    </row>
    <row r="112" spans="3:11" ht="60" x14ac:dyDescent="0.25">
      <c r="C112" s="383" t="s">
        <v>701</v>
      </c>
      <c r="D112" s="420" t="s">
        <v>40</v>
      </c>
      <c r="E112" s="433"/>
      <c r="F112" s="446"/>
      <c r="G112" s="369"/>
      <c r="H112" s="370" t="s">
        <v>560</v>
      </c>
      <c r="I112" s="370" t="s">
        <v>667</v>
      </c>
      <c r="J112" s="370" t="s">
        <v>568</v>
      </c>
      <c r="K112" s="370"/>
    </row>
    <row r="113" spans="1:11" ht="80.400000000000006" thickBot="1" x14ac:dyDescent="0.3">
      <c r="C113" s="391" t="s">
        <v>702</v>
      </c>
      <c r="D113" s="447" t="s">
        <v>40</v>
      </c>
      <c r="E113" s="440"/>
      <c r="F113" s="441"/>
      <c r="G113" s="369"/>
      <c r="H113" s="370" t="s">
        <v>560</v>
      </c>
      <c r="I113" s="370" t="s">
        <v>667</v>
      </c>
      <c r="J113" s="370" t="s">
        <v>568</v>
      </c>
      <c r="K113" s="370"/>
    </row>
    <row r="114" spans="1:11" ht="150.6" hidden="1" thickBot="1" x14ac:dyDescent="0.3">
      <c r="C114" s="396" t="s">
        <v>703</v>
      </c>
      <c r="D114" s="411"/>
      <c r="E114" s="411"/>
      <c r="F114" s="412"/>
      <c r="G114" s="369"/>
      <c r="H114" s="370" t="s">
        <v>560</v>
      </c>
      <c r="I114" s="370" t="s">
        <v>667</v>
      </c>
      <c r="J114" s="400" t="s">
        <v>704</v>
      </c>
      <c r="K114" s="370"/>
    </row>
    <row r="115" spans="1:11" ht="45.6" thickBot="1" x14ac:dyDescent="0.3">
      <c r="C115" s="449" t="s">
        <v>705</v>
      </c>
      <c r="D115" s="450" t="s">
        <v>40</v>
      </c>
      <c r="E115" s="442"/>
      <c r="F115" s="443"/>
      <c r="G115" s="369"/>
      <c r="H115" s="370" t="s">
        <v>560</v>
      </c>
      <c r="I115" s="370" t="s">
        <v>667</v>
      </c>
      <c r="J115" s="370" t="s">
        <v>568</v>
      </c>
      <c r="K115" s="370"/>
    </row>
    <row r="116" spans="1:11" ht="8.25" customHeight="1" thickBot="1" x14ac:dyDescent="0.3">
      <c r="D116" s="451"/>
      <c r="E116" s="451"/>
      <c r="F116" s="370"/>
      <c r="G116" s="369"/>
      <c r="H116" s="370"/>
      <c r="I116" s="370"/>
      <c r="J116" s="370"/>
      <c r="K116" s="370"/>
    </row>
    <row r="117" spans="1:11" ht="30.9" customHeight="1" x14ac:dyDescent="0.25">
      <c r="A117" s="331" t="s">
        <v>706</v>
      </c>
      <c r="B117" s="321" t="s">
        <v>707</v>
      </c>
      <c r="C117" s="452" t="str">
        <f>IF('[2]Project Information'!C23:H23="","",'[2]Project Information'!C23:H23)</f>
        <v/>
      </c>
      <c r="D117" s="1720" t="s">
        <v>708</v>
      </c>
      <c r="E117" s="1720"/>
      <c r="F117" s="1721"/>
      <c r="G117" s="1722"/>
    </row>
    <row r="118" spans="1:11" ht="84" customHeight="1" x14ac:dyDescent="0.25">
      <c r="A118" s="331" t="s">
        <v>706</v>
      </c>
      <c r="B118" s="325" t="s">
        <v>709</v>
      </c>
      <c r="C118" s="453"/>
      <c r="D118" s="1690" t="s">
        <v>521</v>
      </c>
      <c r="E118" s="1690"/>
      <c r="F118" s="1723" t="str">
        <f>IF('[2]Project Information'!$C$22="","",'[2]Project Information'!$C$22)</f>
        <v/>
      </c>
      <c r="G118" s="1724"/>
      <c r="H118" s="351"/>
    </row>
    <row r="119" spans="1:11" ht="5.25" customHeight="1" thickBot="1" x14ac:dyDescent="0.3">
      <c r="B119" s="359"/>
      <c r="C119" s="454"/>
      <c r="D119" s="455"/>
      <c r="E119" s="455"/>
      <c r="F119" s="335"/>
      <c r="G119" s="456"/>
      <c r="H119" s="351"/>
    </row>
    <row r="120" spans="1:11" x14ac:dyDescent="0.25">
      <c r="B120" s="330"/>
      <c r="D120" s="1715"/>
      <c r="E120" s="1715"/>
      <c r="F120" s="331"/>
      <c r="G120" s="330"/>
    </row>
    <row r="121" spans="1:11" x14ac:dyDescent="0.25">
      <c r="B121" s="330"/>
      <c r="C121" s="457"/>
      <c r="D121" s="458"/>
      <c r="E121" s="458"/>
      <c r="G121" s="330"/>
      <c r="H121" s="351"/>
    </row>
    <row r="122" spans="1:11" x14ac:dyDescent="0.25">
      <c r="B122" s="330"/>
      <c r="C122" s="457"/>
      <c r="D122" s="458"/>
      <c r="E122" s="458"/>
      <c r="G122" s="330"/>
      <c r="H122" s="351"/>
    </row>
    <row r="123" spans="1:11" x14ac:dyDescent="0.25">
      <c r="B123" s="330"/>
      <c r="D123" s="1715"/>
      <c r="E123" s="1715"/>
      <c r="F123" s="331"/>
      <c r="G123" s="330"/>
    </row>
    <row r="124" spans="1:11" x14ac:dyDescent="0.25">
      <c r="B124" s="330"/>
      <c r="C124" s="457"/>
      <c r="D124" s="458"/>
      <c r="E124" s="458"/>
      <c r="G124" s="330"/>
      <c r="H124" s="351"/>
    </row>
    <row r="125" spans="1:11" x14ac:dyDescent="0.25">
      <c r="B125" s="330"/>
      <c r="C125" s="457"/>
      <c r="D125" s="458"/>
      <c r="E125" s="458"/>
      <c r="G125" s="330"/>
      <c r="H125" s="351"/>
    </row>
    <row r="126" spans="1:11" x14ac:dyDescent="0.25">
      <c r="B126" s="330"/>
      <c r="D126" s="1715"/>
      <c r="E126" s="1715"/>
      <c r="F126" s="331"/>
      <c r="G126" s="330"/>
    </row>
    <row r="127" spans="1:11" x14ac:dyDescent="0.25">
      <c r="B127" s="330"/>
      <c r="D127" s="458"/>
      <c r="E127" s="458"/>
      <c r="F127" s="331"/>
      <c r="G127" s="331"/>
    </row>
    <row r="128" spans="1:11" x14ac:dyDescent="0.25">
      <c r="G128" s="351"/>
    </row>
    <row r="129" spans="7:7" x14ac:dyDescent="0.25">
      <c r="G129" s="351"/>
    </row>
    <row r="130" spans="7:7" x14ac:dyDescent="0.25">
      <c r="G130" s="351"/>
    </row>
  </sheetData>
  <sheetProtection sheet="1" objects="1" scenarios="1"/>
  <mergeCells count="9">
    <mergeCell ref="D120:E120"/>
    <mergeCell ref="D123:E123"/>
    <mergeCell ref="D126:E126"/>
    <mergeCell ref="E1:F1"/>
    <mergeCell ref="C7:F7"/>
    <mergeCell ref="D117:E117"/>
    <mergeCell ref="F117:G117"/>
    <mergeCell ref="D118:E118"/>
    <mergeCell ref="F118:G118"/>
  </mergeCells>
  <conditionalFormatting sqref="A1:XFD1048576">
    <cfRule type="cellIs" dxfId="1521" priority="1" operator="equal">
      <formula>"PASS"</formula>
    </cfRule>
    <cfRule type="cellIs" dxfId="1520" priority="2" operator="equal">
      <formula>"FAIL"</formula>
    </cfRule>
  </conditionalFormatting>
  <dataValidations count="2">
    <dataValidation allowBlank="1" showInputMessage="1" showErrorMessage="1" promptTitle="Complete tab 6." prompt="Provide photo or cut sheet showing U/SHGC for each window/door." sqref="C18" xr:uid="{C20189A9-CC81-B84E-9D9C-27BE60170300}"/>
    <dataValidation allowBlank="1" showInputMessage="1" showErrorMessage="1" promptTitle="Complete tab 5." prompt="Provide photo or cut sheet showing R-value for each insulation layer/assembly" sqref="C34" xr:uid="{7BC9B738-DACA-5845-B46D-B537F838A377}"/>
  </dataValidations>
  <pageMargins left="0.25" right="0.25" top="0.75" bottom="0.75" header="0.3" footer="0.3"/>
  <pageSetup scale="50" fitToHeight="0" orientation="portrait"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4C54-6AE0-7545-BF72-FB686C0C4AA1}">
  <sheetPr codeName="Sheet2">
    <tabColor theme="5" tint="0.79998168889431442"/>
    <pageSetUpPr fitToPage="1"/>
  </sheetPr>
  <dimension ref="B1:AV271"/>
  <sheetViews>
    <sheetView topLeftCell="A48" zoomScale="70" zoomScaleNormal="70" workbookViewId="0">
      <selection activeCell="B6" sqref="B6"/>
    </sheetView>
  </sheetViews>
  <sheetFormatPr defaultColWidth="10.8984375" defaultRowHeight="15.6" x14ac:dyDescent="0.3"/>
  <cols>
    <col min="1" max="1" width="2.59765625" style="331" customWidth="1"/>
    <col min="2" max="2" width="17.09765625" style="331" customWidth="1"/>
    <col min="3" max="3" width="95.09765625" style="331" customWidth="1"/>
    <col min="4" max="4" width="15.8984375" style="351" customWidth="1"/>
    <col min="5" max="5" width="19.8984375" style="351" customWidth="1"/>
    <col min="6" max="6" width="15.3984375" style="351" customWidth="1"/>
    <col min="7" max="7" width="19.5" style="351" customWidth="1"/>
    <col min="8" max="8" width="10.8984375" style="351" customWidth="1"/>
    <col min="9" max="9" width="14.59765625" style="310" hidden="1" customWidth="1"/>
    <col min="10" max="10" width="17.09765625" style="459" hidden="1" customWidth="1"/>
    <col min="11" max="12" width="15.09765625" style="310" hidden="1" customWidth="1"/>
    <col min="13" max="13" width="20.5" style="331" customWidth="1"/>
    <col min="14" max="16384" width="10.8984375" style="331"/>
  </cols>
  <sheetData>
    <row r="1" spans="2:48" ht="91.5" customHeight="1" x14ac:dyDescent="0.3">
      <c r="E1" s="1716" t="s">
        <v>543</v>
      </c>
      <c r="F1" s="1716"/>
      <c r="G1" s="1716"/>
    </row>
    <row r="2" spans="2:48" s="352" customFormat="1" ht="5.25" customHeight="1" thickBot="1" x14ac:dyDescent="0.35">
      <c r="D2" s="353"/>
      <c r="E2" s="354"/>
      <c r="F2" s="354"/>
      <c r="G2" s="353"/>
      <c r="H2" s="351"/>
      <c r="I2" s="460"/>
      <c r="J2" s="461"/>
      <c r="K2" s="460"/>
      <c r="L2" s="460"/>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row>
    <row r="3" spans="2:48" s="352" customFormat="1" ht="30.9" customHeight="1" x14ac:dyDescent="0.3">
      <c r="B3" s="321" t="s">
        <v>545</v>
      </c>
      <c r="C3" s="355" t="str">
        <f>'[2]1a. Rater Design Checklist'!C3</f>
        <v/>
      </c>
      <c r="D3" s="322" t="s">
        <v>546</v>
      </c>
      <c r="E3" s="462" t="str">
        <f>'[2]1a. Rater Design Checklist'!E3</f>
        <v/>
      </c>
      <c r="F3" s="322" t="s">
        <v>547</v>
      </c>
      <c r="G3" s="356" t="str">
        <f>'[2]1a. Rater Design Checklist'!G3</f>
        <v/>
      </c>
      <c r="H3" s="351"/>
      <c r="I3" s="460"/>
      <c r="J3" s="461"/>
      <c r="K3" s="460"/>
      <c r="L3" s="460"/>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row>
    <row r="4" spans="2:48" s="352" customFormat="1" ht="30.9" customHeight="1" x14ac:dyDescent="0.3">
      <c r="B4" s="325" t="s">
        <v>548</v>
      </c>
      <c r="C4" s="463" t="str">
        <f>'[2]1a. Rater Design Checklist'!C4</f>
        <v/>
      </c>
      <c r="D4" s="316" t="s">
        <v>549</v>
      </c>
      <c r="E4" s="464" t="str">
        <f>'[2]1a. Rater Design Checklist'!E4</f>
        <v/>
      </c>
      <c r="F4" s="316" t="s">
        <v>550</v>
      </c>
      <c r="G4" s="465" t="str">
        <f>'[2]1a. Rater Design Checklist'!G4</f>
        <v/>
      </c>
      <c r="H4" s="351"/>
      <c r="I4" s="460"/>
      <c r="J4" s="461"/>
      <c r="K4" s="460"/>
      <c r="L4" s="460"/>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row>
    <row r="5" spans="2:48" s="352" customFormat="1" ht="5.25" customHeight="1" thickBot="1" x14ac:dyDescent="0.35">
      <c r="B5" s="359"/>
      <c r="C5" s="328"/>
      <c r="D5" s="328"/>
      <c r="E5" s="328"/>
      <c r="F5" s="328"/>
      <c r="G5" s="329"/>
      <c r="H5" s="351"/>
      <c r="I5" s="460"/>
      <c r="J5" s="461"/>
      <c r="K5" s="460"/>
      <c r="L5" s="460"/>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row>
    <row r="6" spans="2:48" ht="15.9" customHeight="1" thickBot="1" x14ac:dyDescent="0.4">
      <c r="C6" s="466"/>
      <c r="D6" s="467"/>
      <c r="E6" s="468"/>
      <c r="F6" s="469"/>
      <c r="G6" s="469"/>
    </row>
    <row r="7" spans="2:48" ht="23.4" x14ac:dyDescent="0.25">
      <c r="C7" s="1726" t="s">
        <v>710</v>
      </c>
      <c r="D7" s="1727"/>
      <c r="E7" s="1727"/>
      <c r="F7" s="1727"/>
      <c r="G7" s="1727"/>
      <c r="H7" s="1728"/>
      <c r="I7" s="1729"/>
      <c r="J7" s="1729"/>
      <c r="K7" s="1729"/>
      <c r="L7" s="1729"/>
      <c r="M7" s="1730"/>
    </row>
    <row r="8" spans="2:48" ht="20.85" customHeight="1" x14ac:dyDescent="0.4">
      <c r="C8" s="470"/>
      <c r="D8" s="1731" t="s">
        <v>711</v>
      </c>
      <c r="E8" s="1732"/>
      <c r="F8" s="1732"/>
      <c r="G8" s="1732"/>
      <c r="H8" s="1733"/>
      <c r="I8" s="1734"/>
      <c r="J8" s="1734"/>
      <c r="K8" s="1734"/>
      <c r="L8" s="1734"/>
      <c r="M8" s="1735"/>
    </row>
    <row r="9" spans="2:48" ht="31.8" thickBot="1" x14ac:dyDescent="0.35">
      <c r="C9" s="471" t="s">
        <v>552</v>
      </c>
      <c r="D9" s="472" t="s">
        <v>540</v>
      </c>
      <c r="E9" s="472" t="s">
        <v>712</v>
      </c>
      <c r="F9" s="472" t="s">
        <v>713</v>
      </c>
      <c r="G9" s="472" t="s">
        <v>714</v>
      </c>
      <c r="H9" s="473" t="s">
        <v>715</v>
      </c>
      <c r="I9" s="474" t="s">
        <v>555</v>
      </c>
      <c r="J9" s="474" t="s">
        <v>556</v>
      </c>
      <c r="K9" s="474" t="s">
        <v>557</v>
      </c>
      <c r="L9" s="474" t="s">
        <v>558</v>
      </c>
      <c r="M9" s="475" t="s">
        <v>541</v>
      </c>
    </row>
    <row r="10" spans="2:48" s="459" customFormat="1" ht="206.85" hidden="1" customHeight="1" x14ac:dyDescent="0.3">
      <c r="C10" s="371" t="s">
        <v>716</v>
      </c>
      <c r="D10" s="476"/>
      <c r="E10" s="476"/>
      <c r="F10" s="476"/>
      <c r="G10" s="476"/>
      <c r="H10" s="477"/>
      <c r="I10" s="310" t="s">
        <v>560</v>
      </c>
      <c r="J10" s="459" t="s">
        <v>561</v>
      </c>
      <c r="K10" s="310" t="s">
        <v>564</v>
      </c>
      <c r="L10" s="310"/>
    </row>
    <row r="11" spans="2:48" s="459" customFormat="1" ht="76.2" hidden="1" thickBot="1" x14ac:dyDescent="0.35">
      <c r="C11" s="396" t="s">
        <v>717</v>
      </c>
      <c r="D11" s="478"/>
      <c r="E11" s="478"/>
      <c r="F11" s="478"/>
      <c r="G11" s="478"/>
      <c r="H11" s="479"/>
      <c r="I11" s="310" t="s">
        <v>560</v>
      </c>
      <c r="J11" s="459" t="s">
        <v>561</v>
      </c>
      <c r="K11" s="310" t="s">
        <v>718</v>
      </c>
      <c r="L11" s="310"/>
    </row>
    <row r="12" spans="2:48" s="459" customFormat="1" ht="91.2" hidden="1" thickBot="1" x14ac:dyDescent="0.35">
      <c r="C12" s="418" t="s">
        <v>719</v>
      </c>
      <c r="D12" s="480"/>
      <c r="E12" s="480"/>
      <c r="F12" s="480"/>
      <c r="G12" s="480"/>
      <c r="H12" s="481"/>
      <c r="I12" s="310" t="s">
        <v>560</v>
      </c>
      <c r="J12" s="459" t="s">
        <v>561</v>
      </c>
      <c r="K12" s="310" t="s">
        <v>720</v>
      </c>
      <c r="L12" s="310"/>
    </row>
    <row r="13" spans="2:48" s="459" customFormat="1" ht="76.2" hidden="1" thickBot="1" x14ac:dyDescent="0.35">
      <c r="C13" s="418" t="s">
        <v>721</v>
      </c>
      <c r="D13" s="480"/>
      <c r="E13" s="480"/>
      <c r="F13" s="480"/>
      <c r="G13" s="480"/>
      <c r="H13" s="481"/>
      <c r="I13" s="310" t="s">
        <v>560</v>
      </c>
      <c r="J13" s="459" t="s">
        <v>561</v>
      </c>
      <c r="K13" s="310" t="s">
        <v>566</v>
      </c>
      <c r="L13" s="310"/>
    </row>
    <row r="14" spans="2:48" s="459" customFormat="1" ht="31.8" hidden="1" thickBot="1" x14ac:dyDescent="0.35">
      <c r="C14" s="375" t="s">
        <v>722</v>
      </c>
      <c r="D14" s="482"/>
      <c r="E14" s="482"/>
      <c r="F14" s="482"/>
      <c r="G14" s="482"/>
      <c r="H14" s="483"/>
      <c r="I14" s="310" t="s">
        <v>560</v>
      </c>
      <c r="J14" s="459" t="s">
        <v>561</v>
      </c>
      <c r="K14" s="310" t="s">
        <v>723</v>
      </c>
      <c r="L14" s="310"/>
    </row>
    <row r="15" spans="2:48" s="459" customFormat="1" ht="91.2" hidden="1" thickBot="1" x14ac:dyDescent="0.35">
      <c r="C15" s="375" t="s">
        <v>724</v>
      </c>
      <c r="D15" s="480"/>
      <c r="E15" s="480"/>
      <c r="F15" s="480"/>
      <c r="G15" s="480"/>
      <c r="H15" s="481"/>
      <c r="I15" s="310" t="s">
        <v>560</v>
      </c>
      <c r="J15" s="459" t="s">
        <v>561</v>
      </c>
      <c r="K15" s="310" t="s">
        <v>725</v>
      </c>
      <c r="L15" s="310"/>
    </row>
    <row r="16" spans="2:48" ht="21.6" thickBot="1" x14ac:dyDescent="0.35">
      <c r="C16" s="484" t="s">
        <v>726</v>
      </c>
      <c r="D16" s="485"/>
      <c r="E16" s="485"/>
      <c r="F16" s="485"/>
      <c r="G16" s="485"/>
      <c r="H16" s="486"/>
      <c r="I16" s="310" t="s">
        <v>560</v>
      </c>
      <c r="J16" s="459" t="s">
        <v>561</v>
      </c>
      <c r="K16" s="310" t="s">
        <v>562</v>
      </c>
      <c r="M16" s="487"/>
    </row>
    <row r="17" spans="3:13" ht="21" thickBot="1" x14ac:dyDescent="0.35">
      <c r="C17" s="488" t="s">
        <v>727</v>
      </c>
      <c r="D17" s="422"/>
      <c r="E17" s="422"/>
      <c r="F17" s="422"/>
      <c r="G17" s="422"/>
      <c r="H17" s="489"/>
      <c r="I17" s="310" t="s">
        <v>560</v>
      </c>
      <c r="J17" s="459" t="s">
        <v>561</v>
      </c>
      <c r="K17" s="310" t="s">
        <v>562</v>
      </c>
      <c r="M17" s="490"/>
    </row>
    <row r="18" spans="3:13" ht="30.6" x14ac:dyDescent="0.3">
      <c r="C18" s="491" t="s">
        <v>728</v>
      </c>
      <c r="D18" s="492"/>
      <c r="E18" s="492"/>
      <c r="F18" s="493" t="s">
        <v>729</v>
      </c>
      <c r="G18" s="492"/>
      <c r="H18" s="494" t="s">
        <v>729</v>
      </c>
      <c r="I18" s="310" t="s">
        <v>560</v>
      </c>
      <c r="J18" s="459" t="s">
        <v>561</v>
      </c>
      <c r="K18" s="310" t="s">
        <v>568</v>
      </c>
      <c r="M18" s="495"/>
    </row>
    <row r="19" spans="3:13" ht="30.6" x14ac:dyDescent="0.3">
      <c r="C19" s="383" t="s">
        <v>730</v>
      </c>
      <c r="D19" s="496"/>
      <c r="E19" s="496"/>
      <c r="F19" s="497" t="s">
        <v>729</v>
      </c>
      <c r="G19" s="496"/>
      <c r="H19" s="498" t="s">
        <v>729</v>
      </c>
      <c r="I19" s="310" t="s">
        <v>560</v>
      </c>
      <c r="J19" s="459" t="s">
        <v>561</v>
      </c>
      <c r="K19" s="310" t="s">
        <v>568</v>
      </c>
      <c r="M19" s="499"/>
    </row>
    <row r="20" spans="3:13" ht="44.25" customHeight="1" thickBot="1" x14ac:dyDescent="0.35">
      <c r="C20" s="391" t="s">
        <v>731</v>
      </c>
      <c r="D20" s="416"/>
      <c r="E20" s="416"/>
      <c r="F20" s="500" t="s">
        <v>729</v>
      </c>
      <c r="G20" s="416"/>
      <c r="H20" s="501" t="s">
        <v>729</v>
      </c>
      <c r="I20" s="310" t="s">
        <v>560</v>
      </c>
      <c r="J20" s="459" t="s">
        <v>561</v>
      </c>
      <c r="K20" s="310" t="s">
        <v>568</v>
      </c>
      <c r="M20" s="502"/>
    </row>
    <row r="21" spans="3:13" s="459" customFormat="1" ht="116.85" hidden="1" customHeight="1" x14ac:dyDescent="0.3">
      <c r="C21" s="371" t="s">
        <v>732</v>
      </c>
      <c r="D21" s="476"/>
      <c r="E21" s="476"/>
      <c r="F21" s="476"/>
      <c r="G21" s="476"/>
      <c r="H21" s="477"/>
      <c r="I21" s="310" t="s">
        <v>560</v>
      </c>
      <c r="J21" s="459" t="s">
        <v>561</v>
      </c>
      <c r="K21" s="310" t="s">
        <v>733</v>
      </c>
      <c r="L21" s="310"/>
    </row>
    <row r="22" spans="3:13" s="459" customFormat="1" ht="61.2" hidden="1" thickBot="1" x14ac:dyDescent="0.35">
      <c r="C22" s="375" t="s">
        <v>734</v>
      </c>
      <c r="D22" s="482"/>
      <c r="E22" s="482"/>
      <c r="F22" s="482"/>
      <c r="G22" s="482"/>
      <c r="H22" s="483"/>
      <c r="I22" s="310" t="s">
        <v>560</v>
      </c>
      <c r="J22" s="459" t="s">
        <v>561</v>
      </c>
      <c r="K22" s="310" t="s">
        <v>735</v>
      </c>
      <c r="L22" s="310"/>
    </row>
    <row r="23" spans="3:13" ht="27" customHeight="1" thickBot="1" x14ac:dyDescent="0.35">
      <c r="C23" s="403" t="s">
        <v>736</v>
      </c>
      <c r="D23" s="442"/>
      <c r="E23" s="442"/>
      <c r="F23" s="503" t="s">
        <v>729</v>
      </c>
      <c r="G23" s="442"/>
      <c r="H23" s="504"/>
      <c r="I23" s="370" t="s">
        <v>574</v>
      </c>
      <c r="J23" s="459" t="s">
        <v>561</v>
      </c>
      <c r="K23" s="310" t="s">
        <v>568</v>
      </c>
      <c r="M23" s="505"/>
    </row>
    <row r="24" spans="3:13" s="459" customFormat="1" ht="84.9" hidden="1" customHeight="1" thickBot="1" x14ac:dyDescent="0.35">
      <c r="C24" s="396" t="s">
        <v>737</v>
      </c>
      <c r="D24" s="478"/>
      <c r="E24" s="478"/>
      <c r="F24" s="478"/>
      <c r="G24" s="478"/>
      <c r="H24" s="479"/>
      <c r="I24" s="370" t="s">
        <v>574</v>
      </c>
      <c r="J24" s="459" t="s">
        <v>561</v>
      </c>
      <c r="K24" s="310" t="s">
        <v>738</v>
      </c>
      <c r="L24" s="310"/>
    </row>
    <row r="25" spans="3:13" ht="42.6" customHeight="1" thickBot="1" x14ac:dyDescent="0.35">
      <c r="C25" s="403" t="s">
        <v>739</v>
      </c>
      <c r="D25" s="503"/>
      <c r="E25" s="503"/>
      <c r="F25" s="503"/>
      <c r="G25" s="503"/>
      <c r="H25" s="506"/>
      <c r="I25" s="310" t="s">
        <v>560</v>
      </c>
      <c r="J25" s="459" t="s">
        <v>561</v>
      </c>
      <c r="K25" s="310" t="s">
        <v>568</v>
      </c>
      <c r="M25" s="507"/>
    </row>
    <row r="26" spans="3:13" s="459" customFormat="1" ht="71.849999999999994" hidden="1" customHeight="1" thickBot="1" x14ac:dyDescent="0.35">
      <c r="C26" s="396" t="s">
        <v>740</v>
      </c>
      <c r="D26" s="478"/>
      <c r="E26" s="478"/>
      <c r="F26" s="478"/>
      <c r="G26" s="478"/>
      <c r="H26" s="479"/>
      <c r="I26" s="310" t="s">
        <v>560</v>
      </c>
      <c r="J26" s="459" t="s">
        <v>561</v>
      </c>
      <c r="K26" s="310" t="s">
        <v>741</v>
      </c>
      <c r="L26" s="310"/>
    </row>
    <row r="27" spans="3:13" ht="30.6" x14ac:dyDescent="0.3">
      <c r="C27" s="379" t="s">
        <v>742</v>
      </c>
      <c r="D27" s="508"/>
      <c r="E27" s="508"/>
      <c r="F27" s="509" t="s">
        <v>729</v>
      </c>
      <c r="G27" s="508"/>
      <c r="H27" s="510"/>
      <c r="I27" s="310" t="s">
        <v>560</v>
      </c>
      <c r="J27" s="459" t="s">
        <v>561</v>
      </c>
      <c r="K27" s="310" t="s">
        <v>568</v>
      </c>
      <c r="M27" s="511"/>
    </row>
    <row r="28" spans="3:13" ht="30.6" x14ac:dyDescent="0.3">
      <c r="C28" s="383" t="s">
        <v>743</v>
      </c>
      <c r="D28" s="496"/>
      <c r="E28" s="496"/>
      <c r="F28" s="497" t="s">
        <v>729</v>
      </c>
      <c r="G28" s="496"/>
      <c r="H28" s="512"/>
      <c r="I28" s="310" t="s">
        <v>560</v>
      </c>
      <c r="J28" s="459" t="s">
        <v>561</v>
      </c>
      <c r="K28" s="310" t="s">
        <v>568</v>
      </c>
      <c r="M28" s="513"/>
    </row>
    <row r="29" spans="3:13" ht="29.25" customHeight="1" thickBot="1" x14ac:dyDescent="0.35">
      <c r="C29" s="391" t="s">
        <v>744</v>
      </c>
      <c r="D29" s="416"/>
      <c r="E29" s="416"/>
      <c r="F29" s="500" t="s">
        <v>729</v>
      </c>
      <c r="G29" s="416"/>
      <c r="H29" s="514"/>
      <c r="I29" s="310" t="s">
        <v>560</v>
      </c>
      <c r="J29" s="459" t="s">
        <v>561</v>
      </c>
      <c r="K29" s="310" t="s">
        <v>568</v>
      </c>
      <c r="M29" s="515"/>
    </row>
    <row r="30" spans="3:13" s="459" customFormat="1" ht="56.85" hidden="1" customHeight="1" thickBot="1" x14ac:dyDescent="0.35">
      <c r="C30" s="396" t="s">
        <v>745</v>
      </c>
      <c r="D30" s="478"/>
      <c r="E30" s="478"/>
      <c r="F30" s="478"/>
      <c r="G30" s="478"/>
      <c r="H30" s="479"/>
      <c r="I30" s="310" t="s">
        <v>560</v>
      </c>
      <c r="J30" s="459" t="s">
        <v>561</v>
      </c>
      <c r="K30" s="310" t="s">
        <v>746</v>
      </c>
      <c r="L30" s="310"/>
    </row>
    <row r="31" spans="3:13" ht="30.6" customHeight="1" thickBot="1" x14ac:dyDescent="0.35">
      <c r="C31" s="403" t="s">
        <v>747</v>
      </c>
      <c r="D31" s="503"/>
      <c r="E31" s="503"/>
      <c r="F31" s="503"/>
      <c r="G31" s="503"/>
      <c r="H31" s="506"/>
      <c r="I31" s="310" t="s">
        <v>560</v>
      </c>
      <c r="J31" s="459" t="s">
        <v>561</v>
      </c>
      <c r="K31" s="310" t="s">
        <v>568</v>
      </c>
      <c r="M31" s="507"/>
    </row>
    <row r="32" spans="3:13" s="459" customFormat="1" ht="71.25" hidden="1" customHeight="1" thickBot="1" x14ac:dyDescent="0.35">
      <c r="C32" s="396" t="s">
        <v>740</v>
      </c>
      <c r="D32" s="478"/>
      <c r="E32" s="478"/>
      <c r="F32" s="478"/>
      <c r="G32" s="478"/>
      <c r="H32" s="479"/>
      <c r="I32" s="310" t="s">
        <v>560</v>
      </c>
      <c r="J32" s="459" t="s">
        <v>561</v>
      </c>
      <c r="K32" s="310" t="s">
        <v>748</v>
      </c>
      <c r="L32" s="310"/>
    </row>
    <row r="33" spans="3:13" ht="30.6" x14ac:dyDescent="0.3">
      <c r="C33" s="379" t="s">
        <v>749</v>
      </c>
      <c r="D33" s="508"/>
      <c r="E33" s="508"/>
      <c r="F33" s="509" t="s">
        <v>729</v>
      </c>
      <c r="G33" s="508"/>
      <c r="H33" s="510"/>
      <c r="I33" s="310" t="s">
        <v>560</v>
      </c>
      <c r="J33" s="459" t="s">
        <v>561</v>
      </c>
      <c r="K33" s="310" t="s">
        <v>568</v>
      </c>
      <c r="M33" s="511"/>
    </row>
    <row r="34" spans="3:13" ht="31.2" thickBot="1" x14ac:dyDescent="0.35">
      <c r="C34" s="516" t="s">
        <v>750</v>
      </c>
      <c r="D34" s="416"/>
      <c r="E34" s="416"/>
      <c r="F34" s="500" t="s">
        <v>729</v>
      </c>
      <c r="G34" s="416"/>
      <c r="H34" s="514"/>
      <c r="I34" s="310" t="s">
        <v>560</v>
      </c>
      <c r="J34" s="459" t="s">
        <v>561</v>
      </c>
      <c r="K34" s="310" t="s">
        <v>568</v>
      </c>
      <c r="M34" s="515"/>
    </row>
    <row r="35" spans="3:13" ht="45" customHeight="1" thickBot="1" x14ac:dyDescent="0.35">
      <c r="C35" s="517" t="s">
        <v>751</v>
      </c>
      <c r="D35" s="430"/>
      <c r="E35" s="430"/>
      <c r="F35" s="430"/>
      <c r="G35" s="430"/>
      <c r="H35" s="518"/>
      <c r="I35" s="310" t="s">
        <v>560</v>
      </c>
      <c r="J35" s="459" t="s">
        <v>561</v>
      </c>
      <c r="K35" s="310" t="s">
        <v>562</v>
      </c>
      <c r="M35" s="519"/>
    </row>
    <row r="36" spans="3:13" s="459" customFormat="1" ht="183" hidden="1" customHeight="1" thickBot="1" x14ac:dyDescent="0.35">
      <c r="C36" s="396" t="s">
        <v>752</v>
      </c>
      <c r="D36" s="478"/>
      <c r="E36" s="478"/>
      <c r="F36" s="478"/>
      <c r="G36" s="478"/>
      <c r="H36" s="479"/>
      <c r="I36" s="310" t="s">
        <v>560</v>
      </c>
      <c r="J36" s="459" t="s">
        <v>561</v>
      </c>
      <c r="K36" s="310" t="s">
        <v>753</v>
      </c>
      <c r="L36" s="310"/>
    </row>
    <row r="37" spans="3:13" ht="87.9" customHeight="1" thickBot="1" x14ac:dyDescent="0.35">
      <c r="C37" s="520" t="s">
        <v>754</v>
      </c>
      <c r="D37" s="503"/>
      <c r="E37" s="503"/>
      <c r="F37" s="503"/>
      <c r="G37" s="503"/>
      <c r="H37" s="506"/>
      <c r="I37" s="310" t="s">
        <v>560</v>
      </c>
      <c r="J37" s="459" t="s">
        <v>561</v>
      </c>
      <c r="K37" s="310" t="s">
        <v>755</v>
      </c>
      <c r="M37" s="507"/>
    </row>
    <row r="38" spans="3:13" s="459" customFormat="1" ht="75.599999999999994" hidden="1" customHeight="1" thickBot="1" x14ac:dyDescent="0.35">
      <c r="C38" s="396" t="s">
        <v>756</v>
      </c>
      <c r="D38" s="478"/>
      <c r="E38" s="478"/>
      <c r="F38" s="478"/>
      <c r="G38" s="478"/>
      <c r="H38" s="479"/>
      <c r="I38" s="310" t="s">
        <v>560</v>
      </c>
      <c r="J38" s="459" t="s">
        <v>561</v>
      </c>
      <c r="K38" s="310" t="s">
        <v>757</v>
      </c>
      <c r="L38" s="310"/>
    </row>
    <row r="39" spans="3:13" ht="20.399999999999999" x14ac:dyDescent="0.3">
      <c r="C39" s="379" t="s">
        <v>758</v>
      </c>
      <c r="D39" s="438"/>
      <c r="E39" s="438"/>
      <c r="F39" s="509" t="s">
        <v>729</v>
      </c>
      <c r="G39" s="438"/>
      <c r="H39" s="381"/>
      <c r="I39" s="310" t="s">
        <v>560</v>
      </c>
      <c r="J39" s="459" t="s">
        <v>561</v>
      </c>
      <c r="K39" s="310" t="s">
        <v>568</v>
      </c>
      <c r="M39" s="511"/>
    </row>
    <row r="40" spans="3:13" ht="39.6" customHeight="1" thickBot="1" x14ac:dyDescent="0.35">
      <c r="C40" s="521" t="s">
        <v>759</v>
      </c>
      <c r="D40" s="500"/>
      <c r="E40" s="500"/>
      <c r="F40" s="500"/>
      <c r="G40" s="500"/>
      <c r="H40" s="501"/>
      <c r="I40" s="310" t="s">
        <v>560</v>
      </c>
      <c r="J40" s="459" t="s">
        <v>561</v>
      </c>
      <c r="K40" s="310" t="s">
        <v>755</v>
      </c>
      <c r="M40" s="522"/>
    </row>
    <row r="41" spans="3:13" s="459" customFormat="1" ht="117.9" hidden="1" customHeight="1" thickBot="1" x14ac:dyDescent="0.35">
      <c r="C41" s="396" t="s">
        <v>760</v>
      </c>
      <c r="D41" s="478"/>
      <c r="E41" s="478"/>
      <c r="F41" s="478"/>
      <c r="G41" s="478"/>
      <c r="H41" s="479"/>
      <c r="I41" s="310" t="s">
        <v>560</v>
      </c>
      <c r="J41" s="459" t="s">
        <v>561</v>
      </c>
      <c r="K41" s="310" t="s">
        <v>761</v>
      </c>
      <c r="L41" s="310"/>
    </row>
    <row r="42" spans="3:13" ht="20.399999999999999" x14ac:dyDescent="0.3">
      <c r="C42" s="379" t="s">
        <v>762</v>
      </c>
      <c r="D42" s="438"/>
      <c r="E42" s="438"/>
      <c r="F42" s="509" t="s">
        <v>729</v>
      </c>
      <c r="G42" s="438"/>
      <c r="H42" s="381"/>
      <c r="I42" s="310" t="s">
        <v>560</v>
      </c>
      <c r="J42" s="459" t="s">
        <v>561</v>
      </c>
      <c r="K42" s="310" t="s">
        <v>568</v>
      </c>
      <c r="M42" s="511"/>
    </row>
    <row r="43" spans="3:13" ht="20.399999999999999" x14ac:dyDescent="0.3">
      <c r="C43" s="383" t="s">
        <v>763</v>
      </c>
      <c r="D43" s="433"/>
      <c r="E43" s="433"/>
      <c r="F43" s="497" t="s">
        <v>729</v>
      </c>
      <c r="G43" s="433"/>
      <c r="H43" s="498" t="s">
        <v>729</v>
      </c>
      <c r="I43" s="310" t="s">
        <v>560</v>
      </c>
      <c r="J43" s="459" t="s">
        <v>561</v>
      </c>
      <c r="K43" s="310" t="s">
        <v>568</v>
      </c>
      <c r="M43" s="513"/>
    </row>
    <row r="44" spans="3:13" ht="56.25" customHeight="1" thickBot="1" x14ac:dyDescent="0.35">
      <c r="C44" s="521" t="s">
        <v>764</v>
      </c>
      <c r="D44" s="500"/>
      <c r="E44" s="500"/>
      <c r="F44" s="500"/>
      <c r="G44" s="500"/>
      <c r="H44" s="501"/>
      <c r="I44" s="310" t="s">
        <v>560</v>
      </c>
      <c r="J44" s="459" t="s">
        <v>561</v>
      </c>
      <c r="K44" s="310" t="s">
        <v>755</v>
      </c>
      <c r="M44" s="522"/>
    </row>
    <row r="45" spans="3:13" s="459" customFormat="1" ht="57.9" hidden="1" customHeight="1" x14ac:dyDescent="0.3">
      <c r="C45" s="371" t="s">
        <v>765</v>
      </c>
      <c r="D45" s="476"/>
      <c r="E45" s="476"/>
      <c r="F45" s="476"/>
      <c r="G45" s="476"/>
      <c r="H45" s="477"/>
      <c r="I45" s="310" t="s">
        <v>560</v>
      </c>
      <c r="J45" s="459" t="s">
        <v>561</v>
      </c>
      <c r="K45" s="310" t="s">
        <v>766</v>
      </c>
      <c r="L45" s="310"/>
    </row>
    <row r="46" spans="3:13" s="459" customFormat="1" ht="91.2" hidden="1" thickBot="1" x14ac:dyDescent="0.35">
      <c r="C46" s="418" t="s">
        <v>767</v>
      </c>
      <c r="D46" s="480"/>
      <c r="E46" s="480"/>
      <c r="F46" s="480"/>
      <c r="G46" s="480"/>
      <c r="H46" s="481"/>
      <c r="I46" s="310" t="s">
        <v>560</v>
      </c>
      <c r="J46" s="459" t="s">
        <v>561</v>
      </c>
      <c r="K46" s="310" t="s">
        <v>768</v>
      </c>
      <c r="L46" s="310"/>
    </row>
    <row r="47" spans="3:13" s="459" customFormat="1" ht="61.2" hidden="1" thickBot="1" x14ac:dyDescent="0.35">
      <c r="C47" s="375" t="s">
        <v>769</v>
      </c>
      <c r="D47" s="482"/>
      <c r="E47" s="482"/>
      <c r="F47" s="482"/>
      <c r="G47" s="482"/>
      <c r="H47" s="483"/>
      <c r="I47" s="310" t="s">
        <v>560</v>
      </c>
      <c r="J47" s="459" t="s">
        <v>561</v>
      </c>
      <c r="K47" s="310" t="s">
        <v>770</v>
      </c>
      <c r="L47" s="310"/>
    </row>
    <row r="48" spans="3:13" ht="20.399999999999999" x14ac:dyDescent="0.3">
      <c r="C48" s="379" t="s">
        <v>771</v>
      </c>
      <c r="D48" s="438"/>
      <c r="E48" s="438"/>
      <c r="F48" s="509" t="s">
        <v>729</v>
      </c>
      <c r="G48" s="438"/>
      <c r="H48" s="381"/>
      <c r="I48" s="310" t="s">
        <v>560</v>
      </c>
      <c r="J48" s="459" t="s">
        <v>561</v>
      </c>
      <c r="K48" s="310" t="s">
        <v>568</v>
      </c>
      <c r="M48" s="511"/>
    </row>
    <row r="49" spans="3:13" ht="36" customHeight="1" x14ac:dyDescent="0.3">
      <c r="C49" s="383" t="s">
        <v>772</v>
      </c>
      <c r="D49" s="433"/>
      <c r="E49" s="433"/>
      <c r="F49" s="497" t="s">
        <v>729</v>
      </c>
      <c r="G49" s="433"/>
      <c r="H49" s="385"/>
      <c r="I49" s="310" t="s">
        <v>560</v>
      </c>
      <c r="J49" s="459" t="s">
        <v>561</v>
      </c>
      <c r="K49" s="310" t="s">
        <v>568</v>
      </c>
      <c r="M49" s="513"/>
    </row>
    <row r="50" spans="3:13" ht="20.399999999999999" x14ac:dyDescent="0.3">
      <c r="C50" s="523" t="s">
        <v>773</v>
      </c>
      <c r="D50" s="389"/>
      <c r="E50" s="389"/>
      <c r="F50" s="389"/>
      <c r="G50" s="389"/>
      <c r="H50" s="524"/>
      <c r="I50" s="310" t="s">
        <v>560</v>
      </c>
      <c r="J50" s="459" t="s">
        <v>561</v>
      </c>
      <c r="K50" s="310" t="s">
        <v>562</v>
      </c>
      <c r="M50" s="525"/>
    </row>
    <row r="51" spans="3:13" ht="43.5" customHeight="1" thickBot="1" x14ac:dyDescent="0.35">
      <c r="C51" s="391" t="s">
        <v>774</v>
      </c>
      <c r="D51" s="440"/>
      <c r="E51" s="440"/>
      <c r="F51" s="500" t="s">
        <v>729</v>
      </c>
      <c r="G51" s="440"/>
      <c r="H51" s="526"/>
      <c r="I51" s="310" t="s">
        <v>560</v>
      </c>
      <c r="J51" s="459" t="s">
        <v>561</v>
      </c>
      <c r="K51" s="310" t="s">
        <v>568</v>
      </c>
      <c r="M51" s="515"/>
    </row>
    <row r="52" spans="3:13" s="459" customFormat="1" ht="122.85" hidden="1" customHeight="1" thickBot="1" x14ac:dyDescent="0.35">
      <c r="C52" s="396" t="s">
        <v>775</v>
      </c>
      <c r="D52" s="478"/>
      <c r="E52" s="478"/>
      <c r="F52" s="478"/>
      <c r="G52" s="478"/>
      <c r="H52" s="479"/>
      <c r="I52" s="310" t="s">
        <v>560</v>
      </c>
      <c r="J52" s="459" t="s">
        <v>561</v>
      </c>
      <c r="K52" s="310" t="s">
        <v>776</v>
      </c>
      <c r="L52" s="310"/>
    </row>
    <row r="53" spans="3:13" ht="40.65" customHeight="1" thickBot="1" x14ac:dyDescent="0.35">
      <c r="C53" s="403" t="s">
        <v>777</v>
      </c>
      <c r="D53" s="442"/>
      <c r="E53" s="442"/>
      <c r="F53" s="503" t="s">
        <v>729</v>
      </c>
      <c r="G53" s="442"/>
      <c r="H53" s="504"/>
      <c r="I53" s="310" t="s">
        <v>560</v>
      </c>
      <c r="J53" s="459" t="s">
        <v>561</v>
      </c>
      <c r="K53" s="310" t="s">
        <v>568</v>
      </c>
      <c r="M53" s="505"/>
    </row>
    <row r="54" spans="3:13" s="459" customFormat="1" ht="86.25" hidden="1" customHeight="1" thickBot="1" x14ac:dyDescent="0.35">
      <c r="C54" s="396" t="s">
        <v>778</v>
      </c>
      <c r="D54" s="478"/>
      <c r="E54" s="478"/>
      <c r="F54" s="478"/>
      <c r="G54" s="478"/>
      <c r="H54" s="479"/>
      <c r="I54" s="310" t="s">
        <v>560</v>
      </c>
      <c r="J54" s="459" t="s">
        <v>561</v>
      </c>
      <c r="K54" s="310" t="s">
        <v>779</v>
      </c>
      <c r="L54" s="310"/>
    </row>
    <row r="55" spans="3:13" ht="30.6" x14ac:dyDescent="0.3">
      <c r="C55" s="379" t="s">
        <v>780</v>
      </c>
      <c r="D55" s="438"/>
      <c r="E55" s="438"/>
      <c r="F55" s="509" t="s">
        <v>729</v>
      </c>
      <c r="G55" s="438"/>
      <c r="H55" s="381"/>
      <c r="I55" s="310" t="s">
        <v>560</v>
      </c>
      <c r="J55" s="459" t="s">
        <v>561</v>
      </c>
      <c r="K55" s="310" t="s">
        <v>568</v>
      </c>
      <c r="M55" s="527"/>
    </row>
    <row r="56" spans="3:13" ht="47.85" customHeight="1" thickBot="1" x14ac:dyDescent="0.35">
      <c r="C56" s="391" t="s">
        <v>781</v>
      </c>
      <c r="D56" s="440"/>
      <c r="E56" s="440"/>
      <c r="F56" s="500" t="s">
        <v>729</v>
      </c>
      <c r="G56" s="440"/>
      <c r="H56" s="526"/>
      <c r="I56" s="310" t="s">
        <v>560</v>
      </c>
      <c r="J56" s="459" t="s">
        <v>561</v>
      </c>
      <c r="K56" s="310" t="s">
        <v>568</v>
      </c>
      <c r="M56" s="528"/>
    </row>
    <row r="57" spans="3:13" s="459" customFormat="1" ht="149.85" hidden="1" customHeight="1" x14ac:dyDescent="0.3">
      <c r="C57" s="371" t="s">
        <v>782</v>
      </c>
      <c r="D57" s="476"/>
      <c r="E57" s="476"/>
      <c r="F57" s="476"/>
      <c r="G57" s="476"/>
      <c r="H57" s="477"/>
      <c r="I57" s="310" t="s">
        <v>560</v>
      </c>
      <c r="J57" s="459" t="s">
        <v>561</v>
      </c>
      <c r="K57" s="310" t="s">
        <v>783</v>
      </c>
      <c r="L57" s="310"/>
    </row>
    <row r="58" spans="3:13" s="459" customFormat="1" ht="106.2" hidden="1" thickBot="1" x14ac:dyDescent="0.35">
      <c r="C58" s="375" t="s">
        <v>784</v>
      </c>
      <c r="D58" s="482"/>
      <c r="E58" s="482"/>
      <c r="F58" s="482"/>
      <c r="G58" s="482"/>
      <c r="H58" s="483"/>
      <c r="I58" s="310" t="s">
        <v>560</v>
      </c>
      <c r="J58" s="459" t="s">
        <v>561</v>
      </c>
      <c r="K58" s="310" t="s">
        <v>785</v>
      </c>
      <c r="L58" s="310"/>
    </row>
    <row r="59" spans="3:13" ht="58.5" customHeight="1" thickBot="1" x14ac:dyDescent="0.35">
      <c r="C59" s="403" t="s">
        <v>786</v>
      </c>
      <c r="D59" s="442"/>
      <c r="E59" s="442"/>
      <c r="F59" s="503" t="s">
        <v>729</v>
      </c>
      <c r="G59" s="442"/>
      <c r="H59" s="504"/>
      <c r="I59" s="310" t="s">
        <v>560</v>
      </c>
      <c r="J59" s="459" t="s">
        <v>561</v>
      </c>
      <c r="K59" s="310" t="s">
        <v>568</v>
      </c>
      <c r="M59" s="529"/>
    </row>
    <row r="60" spans="3:13" s="459" customFormat="1" ht="146.25" hidden="1" customHeight="1" thickBot="1" x14ac:dyDescent="0.35">
      <c r="C60" s="396" t="s">
        <v>787</v>
      </c>
      <c r="D60" s="478"/>
      <c r="E60" s="478"/>
      <c r="F60" s="478"/>
      <c r="G60" s="478"/>
      <c r="H60" s="479"/>
      <c r="I60" s="310" t="s">
        <v>560</v>
      </c>
      <c r="J60" s="459" t="s">
        <v>561</v>
      </c>
      <c r="K60" s="310" t="s">
        <v>788</v>
      </c>
      <c r="L60" s="310"/>
    </row>
    <row r="61" spans="3:13" ht="58.5" customHeight="1" thickBot="1" x14ac:dyDescent="0.35">
      <c r="C61" s="403" t="s">
        <v>789</v>
      </c>
      <c r="D61" s="442"/>
      <c r="E61" s="442"/>
      <c r="F61" s="503" t="s">
        <v>729</v>
      </c>
      <c r="G61" s="442"/>
      <c r="H61" s="504"/>
      <c r="I61" s="310" t="s">
        <v>560</v>
      </c>
      <c r="J61" s="459" t="s">
        <v>561</v>
      </c>
      <c r="K61" s="310" t="s">
        <v>568</v>
      </c>
      <c r="M61" s="529"/>
    </row>
    <row r="62" spans="3:13" s="459" customFormat="1" ht="163.65" hidden="1" customHeight="1" thickBot="1" x14ac:dyDescent="0.35">
      <c r="C62" s="396" t="s">
        <v>790</v>
      </c>
      <c r="D62" s="478"/>
      <c r="E62" s="478"/>
      <c r="F62" s="478"/>
      <c r="G62" s="478"/>
      <c r="H62" s="479"/>
      <c r="I62" s="310" t="s">
        <v>560</v>
      </c>
      <c r="J62" s="459" t="s">
        <v>561</v>
      </c>
      <c r="K62" s="310" t="s">
        <v>791</v>
      </c>
      <c r="L62" s="310"/>
    </row>
    <row r="63" spans="3:13" ht="41.25" customHeight="1" thickBot="1" x14ac:dyDescent="0.35">
      <c r="C63" s="403" t="s">
        <v>792</v>
      </c>
      <c r="D63" s="503"/>
      <c r="E63" s="503"/>
      <c r="F63" s="503"/>
      <c r="G63" s="503"/>
      <c r="H63" s="506"/>
      <c r="I63" s="310" t="s">
        <v>560</v>
      </c>
      <c r="J63" s="459" t="s">
        <v>561</v>
      </c>
      <c r="K63" s="310" t="s">
        <v>568</v>
      </c>
      <c r="M63" s="530"/>
    </row>
    <row r="64" spans="3:13" s="459" customFormat="1" ht="225" hidden="1" customHeight="1" x14ac:dyDescent="0.3">
      <c r="C64" s="396" t="s">
        <v>793</v>
      </c>
      <c r="D64" s="478"/>
      <c r="E64" s="478"/>
      <c r="F64" s="478"/>
      <c r="G64" s="478"/>
      <c r="H64" s="479"/>
      <c r="I64" s="310" t="s">
        <v>560</v>
      </c>
      <c r="J64" s="459" t="s">
        <v>561</v>
      </c>
      <c r="K64" s="310" t="s">
        <v>794</v>
      </c>
      <c r="L64" s="310"/>
    </row>
    <row r="65" spans="3:13" s="459" customFormat="1" ht="46.2" hidden="1" thickBot="1" x14ac:dyDescent="0.35">
      <c r="C65" s="531" t="s">
        <v>795</v>
      </c>
      <c r="D65" s="480"/>
      <c r="E65" s="480"/>
      <c r="F65" s="480"/>
      <c r="G65" s="480"/>
      <c r="H65" s="481"/>
      <c r="I65" s="310" t="s">
        <v>560</v>
      </c>
      <c r="J65" s="459" t="s">
        <v>561</v>
      </c>
      <c r="K65" s="310" t="s">
        <v>796</v>
      </c>
      <c r="L65" s="310"/>
    </row>
    <row r="66" spans="3:13" ht="43.5" customHeight="1" thickBot="1" x14ac:dyDescent="0.35">
      <c r="C66" s="403" t="s">
        <v>797</v>
      </c>
      <c r="D66" s="442"/>
      <c r="E66" s="442"/>
      <c r="F66" s="503" t="s">
        <v>729</v>
      </c>
      <c r="G66" s="442"/>
      <c r="H66" s="504"/>
      <c r="I66" s="310" t="s">
        <v>560</v>
      </c>
      <c r="J66" s="459" t="s">
        <v>561</v>
      </c>
      <c r="K66" s="310" t="s">
        <v>568</v>
      </c>
      <c r="M66" s="529"/>
    </row>
    <row r="67" spans="3:13" s="459" customFormat="1" ht="160.65" hidden="1" customHeight="1" x14ac:dyDescent="0.3">
      <c r="C67" s="371" t="s">
        <v>798</v>
      </c>
      <c r="D67" s="476"/>
      <c r="E67" s="476"/>
      <c r="F67" s="476"/>
      <c r="G67" s="476"/>
      <c r="H67" s="477"/>
      <c r="I67" s="310" t="s">
        <v>560</v>
      </c>
      <c r="J67" s="459" t="s">
        <v>561</v>
      </c>
      <c r="K67" s="310" t="s">
        <v>799</v>
      </c>
      <c r="L67" s="310"/>
    </row>
    <row r="68" spans="3:13" s="459" customFormat="1" ht="91.2" hidden="1" thickBot="1" x14ac:dyDescent="0.35">
      <c r="C68" s="418" t="s">
        <v>800</v>
      </c>
      <c r="D68" s="480"/>
      <c r="E68" s="480"/>
      <c r="F68" s="480"/>
      <c r="G68" s="480"/>
      <c r="H68" s="481"/>
      <c r="I68" s="310" t="s">
        <v>560</v>
      </c>
      <c r="J68" s="459" t="s">
        <v>561</v>
      </c>
      <c r="K68" s="310" t="s">
        <v>801</v>
      </c>
      <c r="L68" s="310"/>
    </row>
    <row r="69" spans="3:13" s="459" customFormat="1" ht="46.2" hidden="1" thickBot="1" x14ac:dyDescent="0.35">
      <c r="C69" s="418" t="s">
        <v>795</v>
      </c>
      <c r="D69" s="480"/>
      <c r="E69" s="480"/>
      <c r="F69" s="480"/>
      <c r="G69" s="480"/>
      <c r="H69" s="481"/>
      <c r="I69" s="310" t="s">
        <v>560</v>
      </c>
      <c r="J69" s="459" t="s">
        <v>561</v>
      </c>
      <c r="K69" s="310" t="s">
        <v>802</v>
      </c>
      <c r="L69" s="310"/>
    </row>
    <row r="70" spans="3:13" s="459" customFormat="1" ht="31.8" hidden="1" thickBot="1" x14ac:dyDescent="0.35">
      <c r="C70" s="375" t="s">
        <v>803</v>
      </c>
      <c r="D70" s="482"/>
      <c r="E70" s="482"/>
      <c r="F70" s="482"/>
      <c r="G70" s="482"/>
      <c r="H70" s="483"/>
      <c r="I70" s="310" t="s">
        <v>560</v>
      </c>
      <c r="J70" s="459" t="s">
        <v>561</v>
      </c>
      <c r="K70" s="310" t="s">
        <v>804</v>
      </c>
      <c r="L70" s="310"/>
    </row>
    <row r="71" spans="3:13" ht="43.65" customHeight="1" thickBot="1" x14ac:dyDescent="0.35">
      <c r="C71" s="403" t="s">
        <v>805</v>
      </c>
      <c r="D71" s="442"/>
      <c r="E71" s="442"/>
      <c r="F71" s="503" t="s">
        <v>729</v>
      </c>
      <c r="G71" s="442"/>
      <c r="H71" s="504"/>
      <c r="I71" s="310" t="s">
        <v>560</v>
      </c>
      <c r="J71" s="459" t="s">
        <v>561</v>
      </c>
      <c r="K71" s="310" t="s">
        <v>568</v>
      </c>
      <c r="M71" s="529"/>
    </row>
    <row r="72" spans="3:13" s="459" customFormat="1" ht="167.25" hidden="1" customHeight="1" x14ac:dyDescent="0.3">
      <c r="C72" s="371" t="s">
        <v>798</v>
      </c>
      <c r="D72" s="476"/>
      <c r="E72" s="476"/>
      <c r="F72" s="476"/>
      <c r="G72" s="476"/>
      <c r="H72" s="477"/>
      <c r="I72" s="310" t="s">
        <v>560</v>
      </c>
      <c r="J72" s="459" t="s">
        <v>561</v>
      </c>
      <c r="K72" s="310" t="s">
        <v>806</v>
      </c>
      <c r="L72" s="310"/>
    </row>
    <row r="73" spans="3:13" s="459" customFormat="1" ht="46.2" hidden="1" thickBot="1" x14ac:dyDescent="0.35">
      <c r="C73" s="418" t="s">
        <v>795</v>
      </c>
      <c r="D73" s="480"/>
      <c r="E73" s="480"/>
      <c r="F73" s="480"/>
      <c r="G73" s="480"/>
      <c r="H73" s="481"/>
      <c r="I73" s="310" t="s">
        <v>560</v>
      </c>
      <c r="J73" s="459" t="s">
        <v>561</v>
      </c>
      <c r="K73" s="310" t="s">
        <v>807</v>
      </c>
      <c r="L73" s="310"/>
    </row>
    <row r="74" spans="3:13" s="459" customFormat="1" ht="76.2" hidden="1" thickBot="1" x14ac:dyDescent="0.35">
      <c r="C74" s="375" t="s">
        <v>808</v>
      </c>
      <c r="D74" s="482"/>
      <c r="E74" s="482"/>
      <c r="F74" s="482"/>
      <c r="G74" s="482"/>
      <c r="H74" s="483"/>
      <c r="I74" s="310" t="s">
        <v>560</v>
      </c>
      <c r="J74" s="459" t="s">
        <v>561</v>
      </c>
      <c r="K74" s="310" t="s">
        <v>809</v>
      </c>
      <c r="L74" s="310"/>
    </row>
    <row r="75" spans="3:13" ht="45" customHeight="1" thickBot="1" x14ac:dyDescent="0.35">
      <c r="C75" s="403" t="s">
        <v>810</v>
      </c>
      <c r="D75" s="503"/>
      <c r="E75" s="503"/>
      <c r="F75" s="503"/>
      <c r="G75" s="503"/>
      <c r="H75" s="506"/>
      <c r="I75" s="310" t="s">
        <v>560</v>
      </c>
      <c r="J75" s="459" t="s">
        <v>561</v>
      </c>
      <c r="K75" s="310" t="s">
        <v>568</v>
      </c>
      <c r="M75" s="530"/>
    </row>
    <row r="76" spans="3:13" ht="78" hidden="1" customHeight="1" x14ac:dyDescent="0.3">
      <c r="C76" s="418" t="s">
        <v>795</v>
      </c>
      <c r="D76" s="480"/>
      <c r="E76" s="480"/>
      <c r="F76" s="480"/>
      <c r="G76" s="480"/>
      <c r="H76" s="481"/>
      <c r="I76" s="310" t="s">
        <v>560</v>
      </c>
      <c r="J76" s="459" t="s">
        <v>561</v>
      </c>
      <c r="K76" s="310" t="s">
        <v>811</v>
      </c>
      <c r="M76" s="532"/>
    </row>
    <row r="77" spans="3:13" s="459" customFormat="1" ht="193.65" hidden="1" customHeight="1" thickBot="1" x14ac:dyDescent="0.35">
      <c r="C77" s="396" t="s">
        <v>812</v>
      </c>
      <c r="D77" s="478"/>
      <c r="E77" s="478"/>
      <c r="F77" s="478"/>
      <c r="G77" s="478"/>
      <c r="H77" s="479"/>
      <c r="I77" s="310" t="s">
        <v>560</v>
      </c>
      <c r="J77" s="459" t="s">
        <v>561</v>
      </c>
      <c r="K77" s="310" t="s">
        <v>813</v>
      </c>
      <c r="L77" s="310"/>
    </row>
    <row r="78" spans="3:13" ht="28.65" customHeight="1" thickBot="1" x14ac:dyDescent="0.35">
      <c r="C78" s="403" t="s">
        <v>814</v>
      </c>
      <c r="D78" s="442"/>
      <c r="E78" s="442"/>
      <c r="F78" s="503" t="s">
        <v>729</v>
      </c>
      <c r="G78" s="442"/>
      <c r="H78" s="504"/>
      <c r="I78" s="310" t="s">
        <v>560</v>
      </c>
      <c r="J78" s="459" t="s">
        <v>561</v>
      </c>
      <c r="K78" s="310" t="s">
        <v>568</v>
      </c>
      <c r="M78" s="529"/>
    </row>
    <row r="79" spans="3:13" s="459" customFormat="1" ht="92.85" hidden="1" customHeight="1" thickBot="1" x14ac:dyDescent="0.35">
      <c r="C79" s="396" t="s">
        <v>815</v>
      </c>
      <c r="D79" s="478"/>
      <c r="E79" s="478"/>
      <c r="F79" s="478"/>
      <c r="G79" s="478"/>
      <c r="H79" s="479"/>
      <c r="I79" s="310" t="s">
        <v>560</v>
      </c>
      <c r="J79" s="459" t="s">
        <v>561</v>
      </c>
      <c r="K79" s="310" t="s">
        <v>816</v>
      </c>
      <c r="L79" s="310"/>
    </row>
    <row r="80" spans="3:13" ht="43.65" customHeight="1" thickBot="1" x14ac:dyDescent="0.35">
      <c r="C80" s="403" t="s">
        <v>817</v>
      </c>
      <c r="D80" s="442"/>
      <c r="E80" s="442"/>
      <c r="F80" s="503" t="s">
        <v>729</v>
      </c>
      <c r="G80" s="442"/>
      <c r="H80" s="504"/>
      <c r="I80" s="310" t="s">
        <v>560</v>
      </c>
      <c r="J80" s="459" t="s">
        <v>561</v>
      </c>
      <c r="K80" s="310" t="s">
        <v>568</v>
      </c>
      <c r="M80" s="529"/>
    </row>
    <row r="81" spans="3:13" s="459" customFormat="1" ht="93" hidden="1" customHeight="1" thickBot="1" x14ac:dyDescent="0.35">
      <c r="C81" s="396" t="s">
        <v>818</v>
      </c>
      <c r="D81" s="478"/>
      <c r="E81" s="478"/>
      <c r="F81" s="478"/>
      <c r="G81" s="478"/>
      <c r="H81" s="479"/>
      <c r="I81" s="310" t="s">
        <v>560</v>
      </c>
      <c r="J81" s="459" t="s">
        <v>561</v>
      </c>
      <c r="K81" s="310" t="s">
        <v>819</v>
      </c>
      <c r="L81" s="310"/>
    </row>
    <row r="82" spans="3:13" ht="41.25" customHeight="1" thickBot="1" x14ac:dyDescent="0.35">
      <c r="C82" s="403" t="s">
        <v>820</v>
      </c>
      <c r="D82" s="442"/>
      <c r="E82" s="442"/>
      <c r="F82" s="503" t="s">
        <v>729</v>
      </c>
      <c r="G82" s="442"/>
      <c r="H82" s="504"/>
      <c r="I82" s="310" t="s">
        <v>560</v>
      </c>
      <c r="J82" s="459" t="s">
        <v>561</v>
      </c>
      <c r="K82" s="310" t="s">
        <v>568</v>
      </c>
      <c r="M82" s="529"/>
    </row>
    <row r="83" spans="3:13" s="459" customFormat="1" ht="59.25" hidden="1" customHeight="1" thickBot="1" x14ac:dyDescent="0.35">
      <c r="C83" s="396" t="s">
        <v>821</v>
      </c>
      <c r="D83" s="478"/>
      <c r="E83" s="478"/>
      <c r="F83" s="478"/>
      <c r="G83" s="478"/>
      <c r="H83" s="479"/>
      <c r="I83" s="310" t="s">
        <v>560</v>
      </c>
      <c r="J83" s="459" t="s">
        <v>561</v>
      </c>
      <c r="K83" s="310" t="s">
        <v>822</v>
      </c>
      <c r="L83" s="310"/>
    </row>
    <row r="84" spans="3:13" ht="31.2" x14ac:dyDescent="0.3">
      <c r="C84" s="413" t="s">
        <v>823</v>
      </c>
      <c r="D84" s="533"/>
      <c r="E84" s="533"/>
      <c r="F84" s="533"/>
      <c r="G84" s="533"/>
      <c r="H84" s="534"/>
      <c r="I84" s="310" t="s">
        <v>560</v>
      </c>
      <c r="J84" s="459" t="s">
        <v>561</v>
      </c>
      <c r="K84" s="310" t="s">
        <v>562</v>
      </c>
      <c r="M84" s="535"/>
    </row>
    <row r="85" spans="3:13" ht="30.6" x14ac:dyDescent="0.3">
      <c r="C85" s="383" t="s">
        <v>824</v>
      </c>
      <c r="D85" s="433"/>
      <c r="E85" s="433"/>
      <c r="F85" s="497" t="s">
        <v>729</v>
      </c>
      <c r="G85" s="433"/>
      <c r="H85" s="498" t="s">
        <v>729</v>
      </c>
      <c r="I85" s="310" t="s">
        <v>560</v>
      </c>
      <c r="J85" s="459" t="s">
        <v>561</v>
      </c>
      <c r="K85" s="310" t="s">
        <v>568</v>
      </c>
      <c r="M85" s="513"/>
    </row>
    <row r="86" spans="3:13" ht="30.6" x14ac:dyDescent="0.3">
      <c r="C86" s="383" t="s">
        <v>825</v>
      </c>
      <c r="D86" s="433"/>
      <c r="E86" s="433"/>
      <c r="F86" s="497" t="s">
        <v>729</v>
      </c>
      <c r="G86" s="433"/>
      <c r="H86" s="385"/>
      <c r="I86" s="310" t="s">
        <v>560</v>
      </c>
      <c r="J86" s="459" t="s">
        <v>561</v>
      </c>
      <c r="K86" s="310" t="s">
        <v>568</v>
      </c>
      <c r="M86" s="513"/>
    </row>
    <row r="87" spans="3:13" ht="30.6" x14ac:dyDescent="0.3">
      <c r="C87" s="383" t="s">
        <v>826</v>
      </c>
      <c r="D87" s="433"/>
      <c r="E87" s="433"/>
      <c r="F87" s="497" t="s">
        <v>729</v>
      </c>
      <c r="G87" s="433"/>
      <c r="H87" s="385"/>
      <c r="I87" s="310" t="s">
        <v>560</v>
      </c>
      <c r="J87" s="459" t="s">
        <v>561</v>
      </c>
      <c r="K87" s="310" t="s">
        <v>568</v>
      </c>
      <c r="M87" s="513"/>
    </row>
    <row r="88" spans="3:13" ht="45.6" x14ac:dyDescent="0.3">
      <c r="C88" s="383" t="s">
        <v>827</v>
      </c>
      <c r="D88" s="433"/>
      <c r="E88" s="433"/>
      <c r="F88" s="497" t="s">
        <v>729</v>
      </c>
      <c r="G88" s="433"/>
      <c r="H88" s="385"/>
      <c r="I88" s="310" t="s">
        <v>560</v>
      </c>
      <c r="J88" s="459" t="s">
        <v>561</v>
      </c>
      <c r="K88" s="310" t="s">
        <v>568</v>
      </c>
      <c r="M88" s="513"/>
    </row>
    <row r="89" spans="3:13" ht="28.5" customHeight="1" thickBot="1" x14ac:dyDescent="0.35">
      <c r="C89" s="391" t="s">
        <v>828</v>
      </c>
      <c r="D89" s="440"/>
      <c r="E89" s="440"/>
      <c r="F89" s="500" t="s">
        <v>729</v>
      </c>
      <c r="G89" s="440"/>
      <c r="H89" s="501" t="s">
        <v>729</v>
      </c>
      <c r="I89" s="310" t="s">
        <v>560</v>
      </c>
      <c r="J89" s="459" t="s">
        <v>561</v>
      </c>
      <c r="K89" s="310" t="s">
        <v>568</v>
      </c>
      <c r="M89" s="515"/>
    </row>
    <row r="90" spans="3:13" s="459" customFormat="1" ht="60.9" hidden="1" customHeight="1" thickBot="1" x14ac:dyDescent="0.35">
      <c r="C90" s="396" t="s">
        <v>829</v>
      </c>
      <c r="D90" s="478"/>
      <c r="E90" s="478"/>
      <c r="F90" s="478"/>
      <c r="G90" s="478"/>
      <c r="H90" s="479"/>
      <c r="I90" s="310" t="s">
        <v>560</v>
      </c>
      <c r="J90" s="459" t="s">
        <v>561</v>
      </c>
      <c r="K90" s="310" t="s">
        <v>830</v>
      </c>
      <c r="L90" s="310"/>
    </row>
    <row r="91" spans="3:13" ht="43.65" customHeight="1" x14ac:dyDescent="0.3">
      <c r="C91" s="444" t="s">
        <v>831</v>
      </c>
      <c r="D91" s="438"/>
      <c r="E91" s="438"/>
      <c r="F91" s="509" t="s">
        <v>729</v>
      </c>
      <c r="G91" s="438"/>
      <c r="H91" s="381"/>
      <c r="I91" s="310" t="s">
        <v>560</v>
      </c>
      <c r="J91" s="459" t="s">
        <v>561</v>
      </c>
      <c r="K91" s="310" t="s">
        <v>568</v>
      </c>
      <c r="M91" s="511"/>
    </row>
    <row r="92" spans="3:13" ht="66.900000000000006" hidden="1" customHeight="1" x14ac:dyDescent="0.3">
      <c r="C92" s="396" t="s">
        <v>832</v>
      </c>
      <c r="D92" s="536"/>
      <c r="E92" s="536"/>
      <c r="F92" s="480"/>
      <c r="G92" s="536"/>
      <c r="H92" s="537"/>
      <c r="I92" s="310" t="s">
        <v>560</v>
      </c>
      <c r="J92" s="459" t="s">
        <v>561</v>
      </c>
      <c r="K92" s="310" t="s">
        <v>833</v>
      </c>
      <c r="M92" s="538"/>
    </row>
    <row r="93" spans="3:13" ht="30.6" x14ac:dyDescent="0.3">
      <c r="C93" s="383" t="s">
        <v>834</v>
      </c>
      <c r="D93" s="433"/>
      <c r="E93" s="433"/>
      <c r="F93" s="497" t="s">
        <v>729</v>
      </c>
      <c r="G93" s="433"/>
      <c r="H93" s="385"/>
      <c r="I93" s="310" t="s">
        <v>560</v>
      </c>
      <c r="J93" s="459" t="s">
        <v>561</v>
      </c>
      <c r="K93" s="310" t="s">
        <v>568</v>
      </c>
      <c r="M93" s="513"/>
    </row>
    <row r="94" spans="3:13" ht="42" customHeight="1" thickBot="1" x14ac:dyDescent="0.35">
      <c r="C94" s="391" t="s">
        <v>835</v>
      </c>
      <c r="D94" s="440"/>
      <c r="E94" s="440"/>
      <c r="F94" s="500" t="s">
        <v>729</v>
      </c>
      <c r="G94" s="440"/>
      <c r="H94" s="526"/>
      <c r="I94" s="310" t="s">
        <v>560</v>
      </c>
      <c r="J94" s="459" t="s">
        <v>561</v>
      </c>
      <c r="K94" s="310" t="s">
        <v>568</v>
      </c>
      <c r="M94" s="528"/>
    </row>
    <row r="95" spans="3:13" s="459" customFormat="1" ht="83.85" hidden="1" customHeight="1" thickBot="1" x14ac:dyDescent="0.35">
      <c r="C95" s="396" t="s">
        <v>778</v>
      </c>
      <c r="D95" s="478"/>
      <c r="E95" s="478"/>
      <c r="F95" s="478"/>
      <c r="G95" s="478"/>
      <c r="H95" s="479"/>
      <c r="I95" s="310" t="s">
        <v>560</v>
      </c>
      <c r="J95" s="459" t="s">
        <v>561</v>
      </c>
      <c r="K95" s="310" t="s">
        <v>836</v>
      </c>
      <c r="L95" s="310"/>
    </row>
    <row r="96" spans="3:13" ht="30.6" x14ac:dyDescent="0.3">
      <c r="C96" s="539" t="s">
        <v>837</v>
      </c>
      <c r="D96" s="438"/>
      <c r="E96" s="438"/>
      <c r="F96" s="509" t="s">
        <v>729</v>
      </c>
      <c r="G96" s="438"/>
      <c r="H96" s="381"/>
      <c r="I96" s="310" t="s">
        <v>560</v>
      </c>
      <c r="J96" s="459" t="s">
        <v>561</v>
      </c>
      <c r="K96" s="310" t="s">
        <v>755</v>
      </c>
      <c r="M96" s="527"/>
    </row>
    <row r="97" spans="3:13" ht="30.6" x14ac:dyDescent="0.3">
      <c r="C97" s="383" t="s">
        <v>838</v>
      </c>
      <c r="D97" s="433"/>
      <c r="E97" s="433"/>
      <c r="F97" s="497" t="s">
        <v>729</v>
      </c>
      <c r="G97" s="433"/>
      <c r="H97" s="385"/>
      <c r="I97" s="310" t="s">
        <v>560</v>
      </c>
      <c r="J97" s="459" t="s">
        <v>561</v>
      </c>
      <c r="K97" s="310" t="s">
        <v>568</v>
      </c>
      <c r="M97" s="540"/>
    </row>
    <row r="98" spans="3:13" ht="42.6" customHeight="1" x14ac:dyDescent="0.3">
      <c r="C98" s="445" t="s">
        <v>839</v>
      </c>
      <c r="D98" s="496"/>
      <c r="E98" s="497" t="s">
        <v>729</v>
      </c>
      <c r="F98" s="497" t="s">
        <v>729</v>
      </c>
      <c r="G98" s="496"/>
      <c r="H98" s="512"/>
      <c r="I98" s="310" t="s">
        <v>560</v>
      </c>
      <c r="J98" s="459" t="s">
        <v>561</v>
      </c>
      <c r="K98" s="310" t="s">
        <v>568</v>
      </c>
      <c r="M98" s="540"/>
    </row>
    <row r="99" spans="3:13" ht="74.400000000000006" hidden="1" customHeight="1" x14ac:dyDescent="0.3">
      <c r="C99" s="396" t="s">
        <v>840</v>
      </c>
      <c r="D99" s="536"/>
      <c r="E99" s="480"/>
      <c r="F99" s="480"/>
      <c r="G99" s="536"/>
      <c r="H99" s="537"/>
      <c r="I99" s="310" t="s">
        <v>560</v>
      </c>
      <c r="J99" s="459" t="s">
        <v>561</v>
      </c>
      <c r="K99" s="310" t="s">
        <v>841</v>
      </c>
      <c r="M99" s="541"/>
    </row>
    <row r="100" spans="3:13" ht="72.599999999999994" customHeight="1" thickBot="1" x14ac:dyDescent="0.35">
      <c r="C100" s="391" t="s">
        <v>842</v>
      </c>
      <c r="D100" s="416"/>
      <c r="E100" s="500" t="s">
        <v>729</v>
      </c>
      <c r="F100" s="500" t="s">
        <v>729</v>
      </c>
      <c r="G100" s="416"/>
      <c r="H100" s="514"/>
      <c r="I100" s="310" t="s">
        <v>560</v>
      </c>
      <c r="J100" s="459" t="s">
        <v>561</v>
      </c>
      <c r="K100" s="310" t="s">
        <v>568</v>
      </c>
      <c r="M100" s="528"/>
    </row>
    <row r="101" spans="3:13" s="459" customFormat="1" ht="92.25" hidden="1" customHeight="1" thickBot="1" x14ac:dyDescent="0.35">
      <c r="C101" s="396" t="s">
        <v>843</v>
      </c>
      <c r="D101" s="478"/>
      <c r="E101" s="478"/>
      <c r="F101" s="478"/>
      <c r="G101" s="478"/>
      <c r="H101" s="479"/>
      <c r="I101" s="310" t="s">
        <v>560</v>
      </c>
      <c r="J101" s="459" t="s">
        <v>561</v>
      </c>
      <c r="K101" s="310" t="s">
        <v>844</v>
      </c>
      <c r="L101" s="310"/>
    </row>
    <row r="102" spans="3:13" ht="25.65" customHeight="1" thickBot="1" x14ac:dyDescent="0.35">
      <c r="C102" s="542" t="s">
        <v>845</v>
      </c>
      <c r="D102" s="543"/>
      <c r="E102" s="543"/>
      <c r="F102" s="543"/>
      <c r="G102" s="543"/>
      <c r="H102" s="544"/>
      <c r="I102" s="310" t="s">
        <v>560</v>
      </c>
      <c r="J102" s="459" t="s">
        <v>561</v>
      </c>
      <c r="K102" s="310" t="s">
        <v>562</v>
      </c>
      <c r="M102" s="545"/>
    </row>
    <row r="103" spans="3:13" s="459" customFormat="1" ht="121.65" hidden="1" customHeight="1" thickBot="1" x14ac:dyDescent="0.35">
      <c r="C103" s="396" t="s">
        <v>846</v>
      </c>
      <c r="D103" s="478"/>
      <c r="E103" s="478"/>
      <c r="F103" s="478"/>
      <c r="G103" s="478"/>
      <c r="H103" s="479"/>
      <c r="I103" s="310" t="s">
        <v>560</v>
      </c>
      <c r="J103" s="459" t="s">
        <v>561</v>
      </c>
      <c r="K103" s="310" t="s">
        <v>847</v>
      </c>
      <c r="L103" s="310"/>
    </row>
    <row r="104" spans="3:13" ht="45" customHeight="1" thickBot="1" x14ac:dyDescent="0.35">
      <c r="C104" s="546" t="s">
        <v>848</v>
      </c>
      <c r="D104" s="533"/>
      <c r="E104" s="533"/>
      <c r="F104" s="533"/>
      <c r="G104" s="533"/>
      <c r="H104" s="534"/>
      <c r="I104" s="310" t="s">
        <v>560</v>
      </c>
      <c r="J104" s="459" t="s">
        <v>561</v>
      </c>
      <c r="K104" s="310" t="s">
        <v>562</v>
      </c>
      <c r="M104" s="535"/>
    </row>
    <row r="105" spans="3:13" ht="119.85" hidden="1" customHeight="1" thickBot="1" x14ac:dyDescent="0.35">
      <c r="C105" s="396" t="s">
        <v>849</v>
      </c>
      <c r="D105" s="438"/>
      <c r="E105" s="438"/>
      <c r="F105" s="438"/>
      <c r="G105" s="438"/>
      <c r="H105" s="381"/>
      <c r="I105" s="310" t="s">
        <v>560</v>
      </c>
      <c r="J105" s="459" t="s">
        <v>561</v>
      </c>
      <c r="K105" s="310" t="s">
        <v>850</v>
      </c>
      <c r="M105" s="527"/>
    </row>
    <row r="106" spans="3:13" ht="39" customHeight="1" thickBot="1" x14ac:dyDescent="0.35">
      <c r="C106" s="547" t="s">
        <v>851</v>
      </c>
      <c r="D106" s="548"/>
      <c r="E106" s="536"/>
      <c r="F106" s="536"/>
      <c r="G106" s="536"/>
      <c r="H106" s="537"/>
      <c r="I106" s="310" t="s">
        <v>560</v>
      </c>
      <c r="J106" s="459" t="s">
        <v>561</v>
      </c>
      <c r="K106" s="310" t="s">
        <v>755</v>
      </c>
      <c r="M106" s="541"/>
    </row>
    <row r="107" spans="3:13" ht="133.65" hidden="1" customHeight="1" thickBot="1" x14ac:dyDescent="0.35">
      <c r="C107" s="396" t="s">
        <v>852</v>
      </c>
      <c r="D107" s="438"/>
      <c r="E107" s="438"/>
      <c r="F107" s="438"/>
      <c r="G107" s="438"/>
      <c r="H107" s="381"/>
      <c r="I107" s="310" t="s">
        <v>560</v>
      </c>
      <c r="J107" s="459" t="s">
        <v>561</v>
      </c>
      <c r="K107" s="549" t="s">
        <v>853</v>
      </c>
      <c r="M107" s="541"/>
    </row>
    <row r="108" spans="3:13" ht="21" thickBot="1" x14ac:dyDescent="0.35">
      <c r="C108" s="550" t="s">
        <v>854</v>
      </c>
      <c r="D108" s="548"/>
      <c r="E108" s="500" t="s">
        <v>729</v>
      </c>
      <c r="F108" s="536"/>
      <c r="G108" s="536"/>
      <c r="H108" s="537"/>
      <c r="I108" s="310" t="s">
        <v>560</v>
      </c>
      <c r="J108" s="459" t="s">
        <v>561</v>
      </c>
      <c r="K108" s="549" t="s">
        <v>568</v>
      </c>
      <c r="M108" s="541"/>
    </row>
    <row r="109" spans="3:13" ht="21" thickBot="1" x14ac:dyDescent="0.35">
      <c r="C109" s="551" t="s">
        <v>855</v>
      </c>
      <c r="D109" s="548"/>
      <c r="E109" s="500" t="s">
        <v>729</v>
      </c>
      <c r="F109" s="536"/>
      <c r="G109" s="536"/>
      <c r="H109" s="537"/>
      <c r="I109" s="310" t="s">
        <v>560</v>
      </c>
      <c r="J109" s="459" t="s">
        <v>561</v>
      </c>
      <c r="K109" s="549" t="s">
        <v>568</v>
      </c>
      <c r="M109" s="541"/>
    </row>
    <row r="110" spans="3:13" ht="51.6" customHeight="1" thickBot="1" x14ac:dyDescent="0.35">
      <c r="C110" s="552" t="s">
        <v>856</v>
      </c>
      <c r="D110" s="548"/>
      <c r="E110" s="500" t="s">
        <v>729</v>
      </c>
      <c r="F110" s="536"/>
      <c r="G110" s="536"/>
      <c r="H110" s="537"/>
      <c r="I110" s="310" t="s">
        <v>560</v>
      </c>
      <c r="J110" s="459" t="s">
        <v>561</v>
      </c>
      <c r="K110" s="549" t="s">
        <v>568</v>
      </c>
      <c r="M110" s="541"/>
    </row>
    <row r="111" spans="3:13" ht="99" hidden="1" customHeight="1" thickBot="1" x14ac:dyDescent="0.35">
      <c r="C111" s="396" t="s">
        <v>857</v>
      </c>
      <c r="D111" s="536"/>
      <c r="E111" s="480"/>
      <c r="F111" s="536"/>
      <c r="G111" s="536"/>
      <c r="H111" s="537"/>
      <c r="I111" s="310" t="s">
        <v>560</v>
      </c>
      <c r="J111" s="459" t="s">
        <v>561</v>
      </c>
      <c r="K111" s="549" t="s">
        <v>858</v>
      </c>
      <c r="M111" s="541"/>
    </row>
    <row r="112" spans="3:13" x14ac:dyDescent="0.3">
      <c r="C112" s="553" t="s">
        <v>859</v>
      </c>
      <c r="D112" s="548"/>
      <c r="E112" s="480"/>
      <c r="F112" s="536"/>
      <c r="G112" s="536"/>
      <c r="H112" s="537"/>
      <c r="M112" s="541"/>
    </row>
    <row r="113" spans="3:13" ht="90" customHeight="1" thickBot="1" x14ac:dyDescent="0.35">
      <c r="C113" s="552" t="s">
        <v>860</v>
      </c>
      <c r="D113" s="554"/>
      <c r="E113" s="500" t="s">
        <v>729</v>
      </c>
      <c r="F113" s="500" t="s">
        <v>729</v>
      </c>
      <c r="G113" s="440"/>
      <c r="H113" s="526"/>
      <c r="I113" s="310" t="s">
        <v>560</v>
      </c>
      <c r="J113" s="459" t="s">
        <v>561</v>
      </c>
      <c r="K113" s="310" t="s">
        <v>568</v>
      </c>
      <c r="M113" s="515"/>
    </row>
    <row r="114" spans="3:13" s="459" customFormat="1" ht="122.25" hidden="1" customHeight="1" thickBot="1" x14ac:dyDescent="0.35">
      <c r="C114" s="396" t="s">
        <v>861</v>
      </c>
      <c r="D114" s="478"/>
      <c r="E114" s="478"/>
      <c r="F114" s="478"/>
      <c r="G114" s="478"/>
      <c r="H114" s="479"/>
      <c r="I114" s="310" t="s">
        <v>560</v>
      </c>
      <c r="J114" s="459" t="s">
        <v>561</v>
      </c>
      <c r="K114" s="549" t="s">
        <v>862</v>
      </c>
      <c r="L114" s="310"/>
    </row>
    <row r="115" spans="3:13" s="459" customFormat="1" ht="84.9" customHeight="1" thickBot="1" x14ac:dyDescent="0.35">
      <c r="C115" s="555" t="s">
        <v>863</v>
      </c>
      <c r="D115" s="556"/>
      <c r="E115" s="480"/>
      <c r="F115" s="536"/>
      <c r="G115" s="480"/>
      <c r="H115" s="481"/>
      <c r="I115" s="310" t="s">
        <v>560</v>
      </c>
      <c r="J115" s="459" t="s">
        <v>561</v>
      </c>
      <c r="K115" s="310" t="s">
        <v>568</v>
      </c>
      <c r="L115" s="310"/>
    </row>
    <row r="116" spans="3:13" s="459" customFormat="1" ht="70.650000000000006" hidden="1" customHeight="1" thickBot="1" x14ac:dyDescent="0.35">
      <c r="C116" s="396" t="s">
        <v>864</v>
      </c>
      <c r="D116" s="478"/>
      <c r="E116" s="478"/>
      <c r="F116" s="478"/>
      <c r="G116" s="478"/>
      <c r="H116" s="479"/>
      <c r="I116" s="310" t="s">
        <v>560</v>
      </c>
      <c r="J116" s="459" t="s">
        <v>561</v>
      </c>
      <c r="K116" s="549" t="s">
        <v>865</v>
      </c>
      <c r="L116" s="310"/>
    </row>
    <row r="117" spans="3:13" ht="51" customHeight="1" x14ac:dyDescent="0.3">
      <c r="C117" s="379" t="s">
        <v>866</v>
      </c>
      <c r="D117" s="508"/>
      <c r="E117" s="509" t="s">
        <v>729</v>
      </c>
      <c r="F117" s="509" t="s">
        <v>729</v>
      </c>
      <c r="G117" s="508"/>
      <c r="H117" s="510"/>
      <c r="I117" s="370" t="s">
        <v>574</v>
      </c>
      <c r="J117" s="459" t="s">
        <v>561</v>
      </c>
      <c r="K117" s="310" t="s">
        <v>568</v>
      </c>
      <c r="M117" s="527"/>
    </row>
    <row r="118" spans="3:13" ht="47.25" customHeight="1" thickBot="1" x14ac:dyDescent="0.35">
      <c r="C118" s="383" t="s">
        <v>867</v>
      </c>
      <c r="D118" s="496"/>
      <c r="E118" s="497" t="s">
        <v>729</v>
      </c>
      <c r="F118" s="497" t="s">
        <v>729</v>
      </c>
      <c r="G118" s="496"/>
      <c r="H118" s="512"/>
      <c r="I118" s="310" t="s">
        <v>868</v>
      </c>
      <c r="J118" s="459" t="s">
        <v>561</v>
      </c>
      <c r="K118" s="310" t="s">
        <v>568</v>
      </c>
      <c r="M118" s="540"/>
    </row>
    <row r="119" spans="3:13" ht="69" customHeight="1" thickBot="1" x14ac:dyDescent="0.35">
      <c r="C119" s="403" t="s">
        <v>869</v>
      </c>
      <c r="D119" s="442"/>
      <c r="E119" s="503" t="s">
        <v>729</v>
      </c>
      <c r="F119" s="503" t="s">
        <v>729</v>
      </c>
      <c r="G119" s="442"/>
      <c r="H119" s="504"/>
      <c r="I119" s="310" t="s">
        <v>560</v>
      </c>
      <c r="J119" s="459" t="s">
        <v>561</v>
      </c>
      <c r="K119" s="310" t="s">
        <v>568</v>
      </c>
      <c r="M119" s="529"/>
    </row>
    <row r="120" spans="3:13" s="459" customFormat="1" ht="157.5" hidden="1" customHeight="1" thickBot="1" x14ac:dyDescent="0.35">
      <c r="C120" s="396" t="s">
        <v>870</v>
      </c>
      <c r="D120" s="478"/>
      <c r="E120" s="478"/>
      <c r="F120" s="478"/>
      <c r="G120" s="478"/>
      <c r="H120" s="479"/>
      <c r="I120" s="310" t="s">
        <v>560</v>
      </c>
      <c r="J120" s="459" t="s">
        <v>561</v>
      </c>
      <c r="K120" s="549" t="s">
        <v>871</v>
      </c>
      <c r="L120" s="310"/>
    </row>
    <row r="121" spans="3:13" ht="94.65" customHeight="1" thickBot="1" x14ac:dyDescent="0.35">
      <c r="C121" s="403" t="s">
        <v>872</v>
      </c>
      <c r="D121" s="442"/>
      <c r="E121" s="503" t="s">
        <v>729</v>
      </c>
      <c r="F121" s="503" t="s">
        <v>729</v>
      </c>
      <c r="G121" s="442"/>
      <c r="H121" s="504"/>
      <c r="I121" s="310" t="s">
        <v>560</v>
      </c>
      <c r="J121" s="459" t="s">
        <v>561</v>
      </c>
      <c r="K121" s="310" t="s">
        <v>568</v>
      </c>
      <c r="M121" s="529"/>
    </row>
    <row r="122" spans="3:13" s="459" customFormat="1" ht="148.65" hidden="1" customHeight="1" thickBot="1" x14ac:dyDescent="0.35">
      <c r="C122" s="396" t="s">
        <v>870</v>
      </c>
      <c r="D122" s="478"/>
      <c r="E122" s="478"/>
      <c r="F122" s="478"/>
      <c r="G122" s="478"/>
      <c r="H122" s="479"/>
      <c r="I122" s="310" t="s">
        <v>560</v>
      </c>
      <c r="J122" s="459" t="s">
        <v>561</v>
      </c>
      <c r="K122" s="549" t="s">
        <v>873</v>
      </c>
      <c r="L122" s="310"/>
    </row>
    <row r="123" spans="3:13" ht="15.75" customHeight="1" x14ac:dyDescent="0.3">
      <c r="C123" s="539" t="s">
        <v>874</v>
      </c>
      <c r="D123" s="557"/>
      <c r="E123" s="557"/>
      <c r="F123" s="557"/>
      <c r="G123" s="557"/>
      <c r="H123" s="558"/>
      <c r="I123" s="310" t="s">
        <v>560</v>
      </c>
      <c r="J123" s="459" t="s">
        <v>561</v>
      </c>
      <c r="K123" s="310" t="s">
        <v>755</v>
      </c>
      <c r="M123" s="559"/>
    </row>
    <row r="124" spans="3:13" ht="30.6" x14ac:dyDescent="0.3">
      <c r="C124" s="383" t="s">
        <v>875</v>
      </c>
      <c r="D124" s="433"/>
      <c r="E124" s="497" t="s">
        <v>729</v>
      </c>
      <c r="F124" s="497" t="s">
        <v>729</v>
      </c>
      <c r="G124" s="433"/>
      <c r="H124" s="385"/>
      <c r="I124" s="310" t="s">
        <v>560</v>
      </c>
      <c r="J124" s="459" t="s">
        <v>561</v>
      </c>
      <c r="K124" s="310" t="s">
        <v>568</v>
      </c>
      <c r="M124" s="513"/>
    </row>
    <row r="125" spans="3:13" ht="20.399999999999999" x14ac:dyDescent="0.3">
      <c r="C125" s="383" t="s">
        <v>876</v>
      </c>
      <c r="D125" s="433"/>
      <c r="E125" s="497" t="s">
        <v>729</v>
      </c>
      <c r="F125" s="497" t="s">
        <v>729</v>
      </c>
      <c r="G125" s="433"/>
      <c r="H125" s="385"/>
      <c r="I125" s="370" t="s">
        <v>574</v>
      </c>
      <c r="J125" s="459" t="s">
        <v>561</v>
      </c>
      <c r="K125" s="310" t="s">
        <v>568</v>
      </c>
      <c r="M125" s="513"/>
    </row>
    <row r="126" spans="3:13" ht="45.6" x14ac:dyDescent="0.3">
      <c r="C126" s="383" t="s">
        <v>877</v>
      </c>
      <c r="D126" s="433"/>
      <c r="E126" s="497" t="s">
        <v>729</v>
      </c>
      <c r="F126" s="433"/>
      <c r="G126" s="433"/>
      <c r="H126" s="385"/>
      <c r="I126" s="310" t="s">
        <v>560</v>
      </c>
      <c r="J126" s="459" t="s">
        <v>561</v>
      </c>
      <c r="K126" s="310" t="s">
        <v>568</v>
      </c>
      <c r="M126" s="513"/>
    </row>
    <row r="127" spans="3:13" ht="45.6" x14ac:dyDescent="0.3">
      <c r="C127" s="383" t="s">
        <v>878</v>
      </c>
      <c r="D127" s="433"/>
      <c r="E127" s="497" t="s">
        <v>729</v>
      </c>
      <c r="F127" s="433"/>
      <c r="G127" s="433"/>
      <c r="H127" s="385"/>
      <c r="I127" s="310" t="s">
        <v>560</v>
      </c>
      <c r="J127" s="459" t="s">
        <v>561</v>
      </c>
      <c r="K127" s="310" t="s">
        <v>568</v>
      </c>
      <c r="M127" s="540"/>
    </row>
    <row r="128" spans="3:13" ht="30.6" x14ac:dyDescent="0.3">
      <c r="C128" s="383" t="s">
        <v>879</v>
      </c>
      <c r="D128" s="496"/>
      <c r="E128" s="497" t="s">
        <v>729</v>
      </c>
      <c r="F128" s="496"/>
      <c r="G128" s="496"/>
      <c r="H128" s="512"/>
      <c r="I128" s="310" t="s">
        <v>560</v>
      </c>
      <c r="J128" s="459" t="s">
        <v>561</v>
      </c>
      <c r="K128" s="310" t="s">
        <v>568</v>
      </c>
      <c r="M128" s="540"/>
    </row>
    <row r="129" spans="3:13" ht="60.6" x14ac:dyDescent="0.3">
      <c r="C129" s="383" t="s">
        <v>880</v>
      </c>
      <c r="D129" s="433"/>
      <c r="E129" s="497" t="s">
        <v>729</v>
      </c>
      <c r="F129" s="433"/>
      <c r="G129" s="433"/>
      <c r="H129" s="385"/>
      <c r="I129" s="310" t="s">
        <v>560</v>
      </c>
      <c r="J129" s="459" t="s">
        <v>561</v>
      </c>
      <c r="K129" s="310" t="s">
        <v>568</v>
      </c>
      <c r="M129" s="540"/>
    </row>
    <row r="130" spans="3:13" ht="21" x14ac:dyDescent="0.3">
      <c r="C130" s="560" t="s">
        <v>881</v>
      </c>
      <c r="D130" s="497"/>
      <c r="E130" s="497"/>
      <c r="F130" s="497"/>
      <c r="G130" s="497"/>
      <c r="H130" s="498"/>
      <c r="I130" s="561" t="s">
        <v>560</v>
      </c>
      <c r="J130" t="s">
        <v>561</v>
      </c>
      <c r="K130" t="s">
        <v>562</v>
      </c>
      <c r="L130" s="562"/>
      <c r="M130" s="563"/>
    </row>
    <row r="131" spans="3:13" ht="60.6" x14ac:dyDescent="0.3">
      <c r="C131" s="383" t="s">
        <v>882</v>
      </c>
      <c r="D131" s="433"/>
      <c r="E131" s="497" t="s">
        <v>729</v>
      </c>
      <c r="F131" s="433"/>
      <c r="G131" s="433"/>
      <c r="H131" s="385"/>
      <c r="I131" s="310" t="s">
        <v>560</v>
      </c>
      <c r="J131" s="459" t="s">
        <v>561</v>
      </c>
      <c r="K131" s="310" t="s">
        <v>568</v>
      </c>
      <c r="M131" s="540"/>
    </row>
    <row r="132" spans="3:13" ht="30.6" x14ac:dyDescent="0.3">
      <c r="C132" s="383" t="s">
        <v>883</v>
      </c>
      <c r="D132" s="433"/>
      <c r="E132" s="497" t="s">
        <v>729</v>
      </c>
      <c r="F132" s="433"/>
      <c r="G132" s="433"/>
      <c r="H132" s="385"/>
      <c r="I132" s="310" t="s">
        <v>560</v>
      </c>
      <c r="J132" s="459" t="s">
        <v>561</v>
      </c>
      <c r="K132" s="310" t="s">
        <v>568</v>
      </c>
      <c r="M132" s="540"/>
    </row>
    <row r="133" spans="3:13" ht="30.6" x14ac:dyDescent="0.3">
      <c r="C133" s="383" t="s">
        <v>884</v>
      </c>
      <c r="D133" s="433"/>
      <c r="E133" s="497" t="s">
        <v>729</v>
      </c>
      <c r="F133" s="433"/>
      <c r="G133" s="433"/>
      <c r="H133" s="385"/>
      <c r="I133" s="310" t="s">
        <v>560</v>
      </c>
      <c r="J133" s="459" t="s">
        <v>561</v>
      </c>
      <c r="K133" s="310" t="s">
        <v>568</v>
      </c>
      <c r="M133" s="540"/>
    </row>
    <row r="134" spans="3:13" ht="45.6" x14ac:dyDescent="0.3">
      <c r="C134" s="383" t="s">
        <v>885</v>
      </c>
      <c r="D134" s="496"/>
      <c r="E134" s="497" t="s">
        <v>729</v>
      </c>
      <c r="F134" s="496"/>
      <c r="G134" s="496"/>
      <c r="H134" s="512"/>
      <c r="I134" s="310" t="s">
        <v>560</v>
      </c>
      <c r="J134" s="459" t="s">
        <v>561</v>
      </c>
      <c r="K134" s="310" t="s">
        <v>568</v>
      </c>
      <c r="M134" s="540"/>
    </row>
    <row r="135" spans="3:13" ht="31.2" x14ac:dyDescent="0.3">
      <c r="C135" s="386" t="s">
        <v>886</v>
      </c>
      <c r="D135" s="387"/>
      <c r="E135" s="387"/>
      <c r="F135" s="387"/>
      <c r="G135" s="387"/>
      <c r="H135" s="524"/>
      <c r="I135" s="561" t="s">
        <v>560</v>
      </c>
      <c r="J135" t="s">
        <v>561</v>
      </c>
      <c r="K135" t="s">
        <v>562</v>
      </c>
      <c r="L135" s="564"/>
      <c r="M135" s="525"/>
    </row>
    <row r="136" spans="3:13" ht="44.25" customHeight="1" thickBot="1" x14ac:dyDescent="0.35">
      <c r="C136" s="391" t="s">
        <v>887</v>
      </c>
      <c r="D136" s="440"/>
      <c r="E136" s="500" t="s">
        <v>729</v>
      </c>
      <c r="F136" s="500" t="s">
        <v>729</v>
      </c>
      <c r="G136" s="440"/>
      <c r="H136" s="526"/>
      <c r="I136" s="310" t="s">
        <v>560</v>
      </c>
      <c r="J136" s="459" t="s">
        <v>561</v>
      </c>
      <c r="K136" s="310" t="s">
        <v>568</v>
      </c>
      <c r="M136" s="528"/>
    </row>
    <row r="137" spans="3:13" s="459" customFormat="1" ht="120" hidden="1" customHeight="1" thickBot="1" x14ac:dyDescent="0.35">
      <c r="C137" s="396" t="s">
        <v>888</v>
      </c>
      <c r="D137" s="478"/>
      <c r="E137" s="478"/>
      <c r="F137" s="478"/>
      <c r="G137" s="478"/>
      <c r="H137" s="479"/>
      <c r="I137" s="310" t="s">
        <v>560</v>
      </c>
      <c r="J137" s="459" t="s">
        <v>561</v>
      </c>
      <c r="K137" s="310" t="s">
        <v>889</v>
      </c>
      <c r="L137" s="310"/>
    </row>
    <row r="138" spans="3:13" ht="85.65" customHeight="1" thickBot="1" x14ac:dyDescent="0.35">
      <c r="C138" s="403" t="s">
        <v>890</v>
      </c>
      <c r="D138" s="404"/>
      <c r="E138" s="503" t="s">
        <v>729</v>
      </c>
      <c r="F138" s="503" t="s">
        <v>729</v>
      </c>
      <c r="G138" s="404"/>
      <c r="H138" s="565"/>
      <c r="I138" s="310" t="s">
        <v>560</v>
      </c>
      <c r="J138" s="459" t="s">
        <v>561</v>
      </c>
      <c r="K138" s="310" t="s">
        <v>568</v>
      </c>
      <c r="M138" s="529"/>
    </row>
    <row r="139" spans="3:13" s="459" customFormat="1" ht="120.9" hidden="1" customHeight="1" thickBot="1" x14ac:dyDescent="0.35">
      <c r="C139" s="396" t="s">
        <v>891</v>
      </c>
      <c r="D139" s="478"/>
      <c r="E139" s="478"/>
      <c r="F139" s="478"/>
      <c r="G139" s="478"/>
      <c r="H139" s="479"/>
      <c r="I139" s="310" t="s">
        <v>560</v>
      </c>
      <c r="J139" s="459" t="s">
        <v>561</v>
      </c>
      <c r="K139" s="310" t="s">
        <v>892</v>
      </c>
      <c r="L139" s="310"/>
    </row>
    <row r="140" spans="3:13" ht="43.65" customHeight="1" thickBot="1" x14ac:dyDescent="0.35">
      <c r="C140" s="403" t="s">
        <v>893</v>
      </c>
      <c r="D140" s="404"/>
      <c r="E140" s="503" t="s">
        <v>729</v>
      </c>
      <c r="F140" s="503" t="s">
        <v>729</v>
      </c>
      <c r="G140" s="404"/>
      <c r="H140" s="566"/>
      <c r="I140" s="310" t="s">
        <v>560</v>
      </c>
      <c r="J140" s="459" t="s">
        <v>561</v>
      </c>
      <c r="K140" s="310" t="s">
        <v>568</v>
      </c>
      <c r="M140" s="529"/>
    </row>
    <row r="141" spans="3:13" s="459" customFormat="1" ht="90.9" hidden="1" customHeight="1" thickBot="1" x14ac:dyDescent="0.35">
      <c r="C141" s="396" t="s">
        <v>894</v>
      </c>
      <c r="D141" s="478"/>
      <c r="E141" s="478"/>
      <c r="F141" s="478"/>
      <c r="G141" s="478"/>
      <c r="H141" s="479"/>
      <c r="I141" s="310" t="s">
        <v>560</v>
      </c>
      <c r="J141" s="459" t="s">
        <v>561</v>
      </c>
      <c r="K141" s="310" t="s">
        <v>895</v>
      </c>
      <c r="L141" s="310"/>
    </row>
    <row r="142" spans="3:13" ht="30.6" x14ac:dyDescent="0.3">
      <c r="C142" s="379" t="s">
        <v>896</v>
      </c>
      <c r="D142" s="508"/>
      <c r="E142" s="509" t="s">
        <v>729</v>
      </c>
      <c r="F142" s="509" t="s">
        <v>729</v>
      </c>
      <c r="G142" s="508"/>
      <c r="H142" s="510"/>
      <c r="I142" s="370" t="s">
        <v>574</v>
      </c>
      <c r="J142" s="459" t="s">
        <v>561</v>
      </c>
      <c r="K142" s="310" t="s">
        <v>568</v>
      </c>
      <c r="M142" s="527"/>
    </row>
    <row r="143" spans="3:13" ht="43.65" customHeight="1" thickBot="1" x14ac:dyDescent="0.35">
      <c r="C143" s="391" t="s">
        <v>897</v>
      </c>
      <c r="D143" s="500"/>
      <c r="E143" s="500"/>
      <c r="F143" s="500"/>
      <c r="G143" s="500"/>
      <c r="H143" s="501"/>
      <c r="I143" s="310" t="s">
        <v>560</v>
      </c>
      <c r="J143" s="459" t="s">
        <v>561</v>
      </c>
      <c r="K143" s="310" t="s">
        <v>568</v>
      </c>
      <c r="M143" s="567"/>
    </row>
    <row r="144" spans="3:13" s="459" customFormat="1" ht="173.85" hidden="1" customHeight="1" x14ac:dyDescent="0.3">
      <c r="C144" s="396" t="s">
        <v>898</v>
      </c>
      <c r="D144" s="478"/>
      <c r="E144" s="478"/>
      <c r="F144" s="478"/>
      <c r="G144" s="478"/>
      <c r="H144" s="479"/>
      <c r="I144" s="310" t="s">
        <v>560</v>
      </c>
      <c r="J144" s="459" t="s">
        <v>561</v>
      </c>
      <c r="K144" s="310" t="s">
        <v>899</v>
      </c>
      <c r="L144" s="310"/>
    </row>
    <row r="145" spans="3:13" s="459" customFormat="1" ht="46.2" hidden="1" thickBot="1" x14ac:dyDescent="0.35">
      <c r="C145" s="531" t="s">
        <v>900</v>
      </c>
      <c r="D145" s="480"/>
      <c r="E145" s="480"/>
      <c r="F145" s="480"/>
      <c r="G145" s="480"/>
      <c r="H145" s="481"/>
      <c r="I145" s="310" t="s">
        <v>560</v>
      </c>
      <c r="J145" s="459" t="s">
        <v>561</v>
      </c>
      <c r="K145" s="310" t="s">
        <v>901</v>
      </c>
      <c r="L145" s="310"/>
    </row>
    <row r="146" spans="3:13" ht="185.85" customHeight="1" thickBot="1" x14ac:dyDescent="0.35">
      <c r="C146" s="403" t="s">
        <v>902</v>
      </c>
      <c r="D146" s="404"/>
      <c r="E146" s="503" t="s">
        <v>729</v>
      </c>
      <c r="F146" s="503" t="s">
        <v>729</v>
      </c>
      <c r="G146" s="404"/>
      <c r="H146" s="566"/>
      <c r="I146" s="310" t="s">
        <v>560</v>
      </c>
      <c r="J146" s="459" t="s">
        <v>561</v>
      </c>
      <c r="K146" s="310" t="s">
        <v>568</v>
      </c>
      <c r="M146" s="529"/>
    </row>
    <row r="147" spans="3:13" s="459" customFormat="1" ht="87" hidden="1" customHeight="1" x14ac:dyDescent="0.3">
      <c r="C147" s="371" t="s">
        <v>843</v>
      </c>
      <c r="D147" s="476"/>
      <c r="E147" s="476"/>
      <c r="F147" s="476"/>
      <c r="G147" s="476"/>
      <c r="H147" s="477"/>
      <c r="I147" s="310" t="s">
        <v>560</v>
      </c>
      <c r="J147" s="459" t="s">
        <v>561</v>
      </c>
      <c r="K147" s="310" t="s">
        <v>903</v>
      </c>
      <c r="L147" s="310"/>
    </row>
    <row r="148" spans="3:13" s="459" customFormat="1" ht="31.8" hidden="1" thickBot="1" x14ac:dyDescent="0.35">
      <c r="C148" s="375" t="s">
        <v>904</v>
      </c>
      <c r="D148" s="482"/>
      <c r="E148" s="482"/>
      <c r="F148" s="482"/>
      <c r="G148" s="482"/>
      <c r="H148" s="483"/>
      <c r="I148" s="310" t="s">
        <v>560</v>
      </c>
      <c r="J148" s="459" t="s">
        <v>561</v>
      </c>
      <c r="K148" s="310" t="s">
        <v>905</v>
      </c>
      <c r="L148" s="310"/>
    </row>
    <row r="149" spans="3:13" ht="189.9" customHeight="1" thickBot="1" x14ac:dyDescent="0.35">
      <c r="C149" s="403" t="s">
        <v>906</v>
      </c>
      <c r="D149" s="404"/>
      <c r="E149" s="503" t="s">
        <v>729</v>
      </c>
      <c r="F149" s="503" t="s">
        <v>729</v>
      </c>
      <c r="G149" s="404"/>
      <c r="H149" s="566"/>
      <c r="I149" s="310" t="s">
        <v>560</v>
      </c>
      <c r="J149" s="459" t="s">
        <v>561</v>
      </c>
      <c r="K149" s="310" t="s">
        <v>568</v>
      </c>
      <c r="M149" s="529"/>
    </row>
    <row r="150" spans="3:13" s="459" customFormat="1" ht="87" hidden="1" customHeight="1" x14ac:dyDescent="0.3">
      <c r="C150" s="371" t="s">
        <v>843</v>
      </c>
      <c r="D150" s="476"/>
      <c r="E150" s="476"/>
      <c r="F150" s="476"/>
      <c r="G150" s="476"/>
      <c r="H150" s="477"/>
      <c r="I150" s="310" t="s">
        <v>560</v>
      </c>
      <c r="J150" s="459" t="s">
        <v>561</v>
      </c>
      <c r="K150" s="310" t="s">
        <v>907</v>
      </c>
      <c r="L150" s="310"/>
    </row>
    <row r="151" spans="3:13" s="459" customFormat="1" ht="61.2" hidden="1" thickBot="1" x14ac:dyDescent="0.35">
      <c r="C151" s="375" t="s">
        <v>908</v>
      </c>
      <c r="D151" s="482"/>
      <c r="E151" s="482"/>
      <c r="F151" s="482"/>
      <c r="G151" s="482"/>
      <c r="H151" s="483"/>
      <c r="I151" s="310" t="s">
        <v>560</v>
      </c>
      <c r="J151" s="459" t="s">
        <v>561</v>
      </c>
      <c r="K151" s="310" t="s">
        <v>909</v>
      </c>
      <c r="L151" s="310"/>
    </row>
    <row r="152" spans="3:13" ht="46.5" customHeight="1" thickBot="1" x14ac:dyDescent="0.35">
      <c r="C152" s="403" t="s">
        <v>910</v>
      </c>
      <c r="D152" s="442"/>
      <c r="E152" s="503" t="s">
        <v>729</v>
      </c>
      <c r="F152" s="503" t="s">
        <v>729</v>
      </c>
      <c r="G152" s="442"/>
      <c r="H152" s="504"/>
      <c r="I152" s="310" t="s">
        <v>560</v>
      </c>
      <c r="J152" s="459" t="s">
        <v>561</v>
      </c>
      <c r="K152" s="310" t="s">
        <v>568</v>
      </c>
      <c r="M152" s="529"/>
    </row>
    <row r="153" spans="3:13" s="459" customFormat="1" ht="169.65" hidden="1" customHeight="1" x14ac:dyDescent="0.3">
      <c r="C153" s="371" t="s">
        <v>911</v>
      </c>
      <c r="D153" s="476"/>
      <c r="E153" s="476"/>
      <c r="F153" s="476"/>
      <c r="G153" s="476"/>
      <c r="H153" s="477"/>
      <c r="I153" s="310" t="s">
        <v>560</v>
      </c>
      <c r="J153" s="459" t="s">
        <v>561</v>
      </c>
      <c r="K153" s="310" t="s">
        <v>912</v>
      </c>
      <c r="L153" s="310"/>
    </row>
    <row r="154" spans="3:13" s="459" customFormat="1" ht="103.65" hidden="1" customHeight="1" thickBot="1" x14ac:dyDescent="0.35">
      <c r="C154" s="375" t="s">
        <v>913</v>
      </c>
      <c r="D154" s="482"/>
      <c r="E154" s="482"/>
      <c r="F154" s="482"/>
      <c r="G154" s="482"/>
      <c r="H154" s="483"/>
      <c r="I154" s="310" t="s">
        <v>560</v>
      </c>
      <c r="J154" s="459" t="s">
        <v>561</v>
      </c>
      <c r="K154" s="310" t="s">
        <v>914</v>
      </c>
      <c r="L154" s="310"/>
    </row>
    <row r="155" spans="3:13" ht="31.2" thickBot="1" x14ac:dyDescent="0.35">
      <c r="C155" s="379" t="s">
        <v>915</v>
      </c>
      <c r="D155" s="508"/>
      <c r="E155" s="509" t="s">
        <v>729</v>
      </c>
      <c r="F155" s="509" t="s">
        <v>729</v>
      </c>
      <c r="G155" s="508"/>
      <c r="H155" s="510"/>
      <c r="I155" s="310" t="s">
        <v>560</v>
      </c>
      <c r="J155" s="459" t="s">
        <v>561</v>
      </c>
      <c r="K155" s="310" t="s">
        <v>568</v>
      </c>
      <c r="M155" s="527"/>
    </row>
    <row r="156" spans="3:13" ht="30.6" thickBot="1" x14ac:dyDescent="0.35">
      <c r="C156" s="391" t="s">
        <v>916</v>
      </c>
      <c r="D156" s="536"/>
      <c r="E156" s="509" t="s">
        <v>729</v>
      </c>
      <c r="F156" s="509" t="s">
        <v>729</v>
      </c>
      <c r="G156" s="536"/>
      <c r="H156" s="537"/>
      <c r="I156" s="310" t="s">
        <v>560</v>
      </c>
      <c r="J156" s="459" t="s">
        <v>561</v>
      </c>
      <c r="K156" s="310" t="s">
        <v>568</v>
      </c>
      <c r="M156" s="541"/>
    </row>
    <row r="157" spans="3:13" ht="41.85" customHeight="1" thickBot="1" x14ac:dyDescent="0.35">
      <c r="C157" s="391" t="s">
        <v>917</v>
      </c>
      <c r="D157" s="416"/>
      <c r="E157" s="500" t="s">
        <v>729</v>
      </c>
      <c r="F157" s="500" t="s">
        <v>729</v>
      </c>
      <c r="G157" s="416"/>
      <c r="H157" s="514"/>
      <c r="I157" s="310" t="s">
        <v>560</v>
      </c>
      <c r="J157" s="459" t="s">
        <v>561</v>
      </c>
      <c r="K157" s="310" t="s">
        <v>568</v>
      </c>
      <c r="M157" s="528"/>
    </row>
    <row r="158" spans="3:13" s="459" customFormat="1" ht="288" hidden="1" x14ac:dyDescent="0.3">
      <c r="C158" s="396" t="s">
        <v>918</v>
      </c>
      <c r="D158" s="478"/>
      <c r="E158" s="478"/>
      <c r="F158" s="478"/>
      <c r="G158" s="478"/>
      <c r="H158" s="479"/>
      <c r="I158" s="310" t="s">
        <v>560</v>
      </c>
      <c r="J158" s="459" t="s">
        <v>561</v>
      </c>
      <c r="K158" s="310" t="s">
        <v>919</v>
      </c>
      <c r="L158" s="310"/>
    </row>
    <row r="159" spans="3:13" s="459" customFormat="1" ht="44.85" customHeight="1" thickBot="1" x14ac:dyDescent="0.35">
      <c r="C159" s="391" t="s">
        <v>920</v>
      </c>
      <c r="D159" s="416"/>
      <c r="E159" s="500" t="s">
        <v>729</v>
      </c>
      <c r="F159" s="500" t="s">
        <v>729</v>
      </c>
      <c r="G159" s="416"/>
      <c r="H159" s="514"/>
      <c r="I159" s="310" t="s">
        <v>560</v>
      </c>
      <c r="J159" s="459" t="s">
        <v>561</v>
      </c>
      <c r="K159" s="310" t="s">
        <v>568</v>
      </c>
      <c r="L159" s="310"/>
    </row>
    <row r="160" spans="3:13" s="459" customFormat="1" ht="288.60000000000002" hidden="1" thickBot="1" x14ac:dyDescent="0.35">
      <c r="C160" s="396" t="s">
        <v>918</v>
      </c>
      <c r="D160" s="478"/>
      <c r="E160" s="478"/>
      <c r="F160" s="478"/>
      <c r="G160" s="478"/>
      <c r="H160" s="479"/>
      <c r="I160" s="310" t="s">
        <v>560</v>
      </c>
      <c r="J160" s="459" t="s">
        <v>561</v>
      </c>
      <c r="K160" s="310" t="s">
        <v>921</v>
      </c>
      <c r="L160" s="310"/>
    </row>
    <row r="161" spans="3:13" ht="21" x14ac:dyDescent="0.3">
      <c r="C161" s="413" t="s">
        <v>922</v>
      </c>
      <c r="D161" s="533"/>
      <c r="E161" s="533"/>
      <c r="F161" s="533"/>
      <c r="G161" s="533"/>
      <c r="H161" s="534"/>
      <c r="I161" s="561" t="s">
        <v>560</v>
      </c>
      <c r="J161" t="s">
        <v>561</v>
      </c>
      <c r="K161" t="s">
        <v>562</v>
      </c>
      <c r="L161" s="564"/>
      <c r="M161" s="535"/>
    </row>
    <row r="162" spans="3:13" ht="68.849999999999994" customHeight="1" thickBot="1" x14ac:dyDescent="0.35">
      <c r="C162" s="391" t="s">
        <v>923</v>
      </c>
      <c r="D162" s="440"/>
      <c r="E162" s="500" t="s">
        <v>729</v>
      </c>
      <c r="F162" s="500" t="s">
        <v>729</v>
      </c>
      <c r="G162" s="440"/>
      <c r="H162" s="501" t="s">
        <v>729</v>
      </c>
      <c r="I162" s="310" t="s">
        <v>560</v>
      </c>
      <c r="J162" s="459" t="s">
        <v>561</v>
      </c>
      <c r="K162" s="310" t="s">
        <v>568</v>
      </c>
      <c r="M162" s="528"/>
    </row>
    <row r="163" spans="3:13" s="459" customFormat="1" ht="117" hidden="1" customHeight="1" thickBot="1" x14ac:dyDescent="0.35">
      <c r="C163" s="396" t="s">
        <v>861</v>
      </c>
      <c r="D163" s="478"/>
      <c r="E163" s="478"/>
      <c r="F163" s="478"/>
      <c r="G163" s="478"/>
      <c r="H163" s="479"/>
      <c r="I163" s="310" t="s">
        <v>560</v>
      </c>
      <c r="J163" s="459" t="s">
        <v>561</v>
      </c>
      <c r="K163" s="310" t="s">
        <v>924</v>
      </c>
      <c r="L163" s="310"/>
    </row>
    <row r="164" spans="3:13" ht="47.85" customHeight="1" thickBot="1" x14ac:dyDescent="0.35">
      <c r="C164" s="403" t="s">
        <v>925</v>
      </c>
      <c r="D164" s="404"/>
      <c r="E164" s="503" t="s">
        <v>729</v>
      </c>
      <c r="F164" s="503" t="s">
        <v>729</v>
      </c>
      <c r="G164" s="404"/>
      <c r="H164" s="506" t="s">
        <v>729</v>
      </c>
      <c r="I164" s="310" t="s">
        <v>560</v>
      </c>
      <c r="J164" s="459" t="s">
        <v>561</v>
      </c>
      <c r="K164" s="310" t="s">
        <v>568</v>
      </c>
      <c r="M164" s="529"/>
    </row>
    <row r="165" spans="3:13" s="459" customFormat="1" ht="154.5" hidden="1" customHeight="1" thickBot="1" x14ac:dyDescent="0.35">
      <c r="C165" s="396" t="s">
        <v>926</v>
      </c>
      <c r="D165" s="478"/>
      <c r="E165" s="478"/>
      <c r="F165" s="478"/>
      <c r="G165" s="478"/>
      <c r="H165" s="479"/>
      <c r="I165" s="310" t="s">
        <v>560</v>
      </c>
      <c r="J165" s="459" t="s">
        <v>561</v>
      </c>
      <c r="K165" s="310" t="s">
        <v>927</v>
      </c>
      <c r="L165" s="310"/>
    </row>
    <row r="166" spans="3:13" ht="43.65" customHeight="1" thickBot="1" x14ac:dyDescent="0.35">
      <c r="C166" s="403" t="s">
        <v>928</v>
      </c>
      <c r="D166" s="404"/>
      <c r="E166" s="503" t="s">
        <v>729</v>
      </c>
      <c r="F166" s="503" t="s">
        <v>729</v>
      </c>
      <c r="G166" s="404"/>
      <c r="H166" s="506" t="s">
        <v>729</v>
      </c>
      <c r="I166" s="310" t="s">
        <v>560</v>
      </c>
      <c r="J166" s="459" t="s">
        <v>561</v>
      </c>
      <c r="K166" s="310" t="s">
        <v>568</v>
      </c>
      <c r="M166" s="529"/>
    </row>
    <row r="167" spans="3:13" s="459" customFormat="1" ht="134.85" hidden="1" customHeight="1" thickBot="1" x14ac:dyDescent="0.35">
      <c r="C167" s="396" t="s">
        <v>929</v>
      </c>
      <c r="D167" s="478"/>
      <c r="E167" s="478"/>
      <c r="F167" s="478"/>
      <c r="G167" s="478"/>
      <c r="H167" s="479"/>
      <c r="I167" s="310" t="s">
        <v>560</v>
      </c>
      <c r="J167" s="459" t="s">
        <v>561</v>
      </c>
      <c r="K167" s="310" t="s">
        <v>930</v>
      </c>
      <c r="L167" s="310"/>
    </row>
    <row r="168" spans="3:13" s="459" customFormat="1" ht="46.2" thickBot="1" x14ac:dyDescent="0.35">
      <c r="C168" s="379" t="s">
        <v>931</v>
      </c>
      <c r="D168" s="480"/>
      <c r="E168" s="503" t="s">
        <v>729</v>
      </c>
      <c r="F168" s="503" t="s">
        <v>729</v>
      </c>
      <c r="G168" s="480"/>
      <c r="H168" s="503" t="s">
        <v>729</v>
      </c>
      <c r="I168" s="310" t="s">
        <v>560</v>
      </c>
      <c r="J168" s="459" t="s">
        <v>561</v>
      </c>
      <c r="K168" s="310" t="s">
        <v>568</v>
      </c>
      <c r="L168" s="310"/>
    </row>
    <row r="169" spans="3:13" ht="45.6" x14ac:dyDescent="0.3">
      <c r="C169" s="379" t="s">
        <v>932</v>
      </c>
      <c r="D169" s="438"/>
      <c r="E169" s="509" t="s">
        <v>729</v>
      </c>
      <c r="F169" s="509" t="s">
        <v>729</v>
      </c>
      <c r="G169" s="438"/>
      <c r="H169" s="568" t="s">
        <v>729</v>
      </c>
      <c r="I169" s="310" t="s">
        <v>560</v>
      </c>
      <c r="J169" s="459" t="s">
        <v>561</v>
      </c>
      <c r="K169" s="310" t="s">
        <v>568</v>
      </c>
      <c r="M169" s="527"/>
    </row>
    <row r="170" spans="3:13" ht="50.25" customHeight="1" thickBot="1" x14ac:dyDescent="0.35">
      <c r="C170" s="391" t="s">
        <v>933</v>
      </c>
      <c r="D170" s="440"/>
      <c r="E170" s="500" t="s">
        <v>729</v>
      </c>
      <c r="F170" s="500" t="s">
        <v>729</v>
      </c>
      <c r="G170" s="440"/>
      <c r="H170" s="501" t="s">
        <v>729</v>
      </c>
      <c r="I170" s="310" t="s">
        <v>560</v>
      </c>
      <c r="J170" s="459" t="s">
        <v>561</v>
      </c>
      <c r="K170" s="310" t="s">
        <v>568</v>
      </c>
      <c r="M170" s="528"/>
    </row>
    <row r="171" spans="3:13" s="459" customFormat="1" ht="126" hidden="1" customHeight="1" thickBot="1" x14ac:dyDescent="0.35">
      <c r="C171" s="396" t="s">
        <v>934</v>
      </c>
      <c r="D171" s="478"/>
      <c r="E171" s="478"/>
      <c r="F171" s="478"/>
      <c r="G171" s="478"/>
      <c r="H171" s="479"/>
      <c r="I171" s="310" t="s">
        <v>560</v>
      </c>
      <c r="J171" s="459" t="s">
        <v>561</v>
      </c>
      <c r="K171" s="310" t="s">
        <v>935</v>
      </c>
      <c r="L171" s="310"/>
    </row>
    <row r="172" spans="3:13" ht="45.6" x14ac:dyDescent="0.3">
      <c r="C172" s="379" t="s">
        <v>936</v>
      </c>
      <c r="D172" s="438"/>
      <c r="E172" s="509" t="s">
        <v>729</v>
      </c>
      <c r="F172" s="509" t="s">
        <v>729</v>
      </c>
      <c r="G172" s="438"/>
      <c r="H172" s="381"/>
      <c r="I172" s="310" t="s">
        <v>560</v>
      </c>
      <c r="J172" s="459" t="s">
        <v>561</v>
      </c>
      <c r="K172" s="310" t="s">
        <v>568</v>
      </c>
      <c r="M172" s="527"/>
    </row>
    <row r="173" spans="3:13" ht="46.65" customHeight="1" thickBot="1" x14ac:dyDescent="0.35">
      <c r="C173" s="391" t="s">
        <v>937</v>
      </c>
      <c r="D173" s="440"/>
      <c r="E173" s="500" t="s">
        <v>729</v>
      </c>
      <c r="F173" s="500" t="s">
        <v>729</v>
      </c>
      <c r="G173" s="440"/>
      <c r="H173" s="526"/>
      <c r="I173" s="310" t="s">
        <v>560</v>
      </c>
      <c r="J173" s="459" t="s">
        <v>561</v>
      </c>
      <c r="K173" s="310" t="s">
        <v>568</v>
      </c>
      <c r="M173" s="528"/>
    </row>
    <row r="174" spans="3:13" s="459" customFormat="1" ht="60" hidden="1" customHeight="1" thickBot="1" x14ac:dyDescent="0.35">
      <c r="C174" s="396" t="s">
        <v>938</v>
      </c>
      <c r="D174" s="478"/>
      <c r="E174" s="478"/>
      <c r="F174" s="478"/>
      <c r="G174" s="478"/>
      <c r="H174" s="479"/>
      <c r="I174" s="310" t="s">
        <v>560</v>
      </c>
      <c r="J174" s="459" t="s">
        <v>561</v>
      </c>
      <c r="K174" s="310" t="s">
        <v>939</v>
      </c>
      <c r="L174" s="310"/>
    </row>
    <row r="175" spans="3:13" ht="45.6" x14ac:dyDescent="0.3">
      <c r="C175" s="379" t="s">
        <v>940</v>
      </c>
      <c r="D175" s="438"/>
      <c r="E175" s="509" t="s">
        <v>729</v>
      </c>
      <c r="F175" s="509" t="s">
        <v>729</v>
      </c>
      <c r="G175" s="438"/>
      <c r="H175" s="381"/>
      <c r="I175" s="310" t="s">
        <v>560</v>
      </c>
      <c r="J175" s="459" t="s">
        <v>561</v>
      </c>
      <c r="K175" s="310" t="s">
        <v>568</v>
      </c>
      <c r="M175" s="527"/>
    </row>
    <row r="176" spans="3:13" ht="42.9" customHeight="1" thickBot="1" x14ac:dyDescent="0.35">
      <c r="C176" s="391" t="s">
        <v>941</v>
      </c>
      <c r="D176" s="500"/>
      <c r="E176" s="500"/>
      <c r="F176" s="500"/>
      <c r="G176" s="500"/>
      <c r="H176" s="569"/>
      <c r="I176" s="310" t="s">
        <v>560</v>
      </c>
      <c r="J176" s="459" t="s">
        <v>561</v>
      </c>
      <c r="K176" s="310" t="s">
        <v>568</v>
      </c>
      <c r="M176" s="570"/>
    </row>
    <row r="177" spans="3:13" s="459" customFormat="1" ht="87" hidden="1" customHeight="1" x14ac:dyDescent="0.3">
      <c r="C177" s="371" t="s">
        <v>942</v>
      </c>
      <c r="D177" s="476"/>
      <c r="E177" s="476"/>
      <c r="F177" s="476"/>
      <c r="G177" s="476"/>
      <c r="H177" s="477"/>
      <c r="I177" s="310" t="s">
        <v>560</v>
      </c>
      <c r="J177" s="459" t="s">
        <v>561</v>
      </c>
      <c r="K177" s="310" t="s">
        <v>943</v>
      </c>
      <c r="L177" s="310"/>
    </row>
    <row r="178" spans="3:13" s="459" customFormat="1" ht="46.2" hidden="1" thickBot="1" x14ac:dyDescent="0.35">
      <c r="C178" s="375" t="s">
        <v>944</v>
      </c>
      <c r="D178" s="482"/>
      <c r="E178" s="482"/>
      <c r="F178" s="482"/>
      <c r="G178" s="482"/>
      <c r="H178" s="483"/>
      <c r="I178" s="310" t="s">
        <v>560</v>
      </c>
      <c r="J178" s="459" t="s">
        <v>561</v>
      </c>
      <c r="K178" s="310" t="s">
        <v>945</v>
      </c>
      <c r="L178" s="310"/>
    </row>
    <row r="179" spans="3:13" ht="30.6" x14ac:dyDescent="0.3">
      <c r="C179" s="379" t="s">
        <v>946</v>
      </c>
      <c r="D179" s="438"/>
      <c r="E179" s="509" t="s">
        <v>729</v>
      </c>
      <c r="F179" s="509" t="s">
        <v>729</v>
      </c>
      <c r="G179" s="438"/>
      <c r="H179" s="568" t="s">
        <v>729</v>
      </c>
      <c r="I179" s="310" t="s">
        <v>560</v>
      </c>
      <c r="J179" s="459" t="s">
        <v>561</v>
      </c>
      <c r="K179" s="310" t="s">
        <v>568</v>
      </c>
      <c r="M179" s="527"/>
    </row>
    <row r="180" spans="3:13" ht="56.25" customHeight="1" x14ac:dyDescent="0.3">
      <c r="C180" s="445" t="s">
        <v>947</v>
      </c>
      <c r="D180" s="433"/>
      <c r="E180" s="497" t="s">
        <v>729</v>
      </c>
      <c r="F180" s="497" t="s">
        <v>729</v>
      </c>
      <c r="G180" s="433"/>
      <c r="H180" s="498" t="s">
        <v>729</v>
      </c>
      <c r="I180" s="310" t="s">
        <v>560</v>
      </c>
      <c r="J180" s="459" t="s">
        <v>561</v>
      </c>
      <c r="K180" s="310" t="s">
        <v>568</v>
      </c>
      <c r="M180" s="540"/>
    </row>
    <row r="181" spans="3:13" ht="59.25" hidden="1" customHeight="1" x14ac:dyDescent="0.3">
      <c r="C181" s="375" t="s">
        <v>948</v>
      </c>
      <c r="D181" s="482"/>
      <c r="E181" s="482"/>
      <c r="F181" s="482"/>
      <c r="G181" s="482"/>
      <c r="H181" s="483"/>
      <c r="I181" s="310" t="s">
        <v>560</v>
      </c>
      <c r="J181" s="459" t="s">
        <v>561</v>
      </c>
      <c r="K181" s="310" t="s">
        <v>949</v>
      </c>
      <c r="M181" s="541"/>
    </row>
    <row r="182" spans="3:13" ht="21" x14ac:dyDescent="0.3">
      <c r="C182" s="386" t="s">
        <v>950</v>
      </c>
      <c r="D182" s="389"/>
      <c r="E182" s="389"/>
      <c r="F182" s="389"/>
      <c r="G182" s="389"/>
      <c r="H182" s="524"/>
      <c r="I182" s="561" t="s">
        <v>560</v>
      </c>
      <c r="J182" t="s">
        <v>561</v>
      </c>
      <c r="K182" t="s">
        <v>562</v>
      </c>
      <c r="L182" s="564"/>
      <c r="M182" s="525"/>
    </row>
    <row r="183" spans="3:13" ht="59.85" customHeight="1" thickBot="1" x14ac:dyDescent="0.35">
      <c r="C183" s="571" t="s">
        <v>951</v>
      </c>
      <c r="D183" s="500"/>
      <c r="E183" s="500"/>
      <c r="F183" s="500"/>
      <c r="G183" s="500"/>
      <c r="H183" s="501"/>
      <c r="I183" s="310" t="s">
        <v>560</v>
      </c>
      <c r="J183" s="459" t="s">
        <v>561</v>
      </c>
      <c r="K183" s="310" t="s">
        <v>755</v>
      </c>
      <c r="M183" s="567"/>
    </row>
    <row r="184" spans="3:13" s="459" customFormat="1" ht="166.5" hidden="1" customHeight="1" x14ac:dyDescent="0.3">
      <c r="C184" s="371" t="s">
        <v>926</v>
      </c>
      <c r="D184" s="476"/>
      <c r="E184" s="476"/>
      <c r="F184" s="476"/>
      <c r="G184" s="476"/>
      <c r="H184" s="477"/>
      <c r="I184" s="310" t="s">
        <v>560</v>
      </c>
      <c r="J184" s="459" t="s">
        <v>561</v>
      </c>
      <c r="K184" s="549" t="s">
        <v>952</v>
      </c>
      <c r="L184" s="310"/>
    </row>
    <row r="185" spans="3:13" s="459" customFormat="1" ht="106.2" hidden="1" thickBot="1" x14ac:dyDescent="0.35">
      <c r="C185" s="375" t="s">
        <v>953</v>
      </c>
      <c r="D185" s="482"/>
      <c r="E185" s="482"/>
      <c r="F185" s="482"/>
      <c r="G185" s="482"/>
      <c r="H185" s="483"/>
      <c r="I185" s="310" t="s">
        <v>560</v>
      </c>
      <c r="J185" s="459" t="s">
        <v>561</v>
      </c>
      <c r="K185" s="549" t="s">
        <v>954</v>
      </c>
      <c r="L185" s="310"/>
    </row>
    <row r="186" spans="3:13" ht="21" x14ac:dyDescent="0.3">
      <c r="C186" s="572" t="s">
        <v>955</v>
      </c>
      <c r="D186" s="557"/>
      <c r="E186" s="557"/>
      <c r="F186" s="557"/>
      <c r="G186" s="509"/>
      <c r="H186" s="568"/>
      <c r="I186" s="561" t="s">
        <v>560</v>
      </c>
      <c r="J186" t="s">
        <v>561</v>
      </c>
      <c r="K186" t="s">
        <v>562</v>
      </c>
      <c r="L186" s="562"/>
      <c r="M186" s="573"/>
    </row>
    <row r="187" spans="3:13" ht="133.5" customHeight="1" thickBot="1" x14ac:dyDescent="0.35">
      <c r="C187" s="516" t="s">
        <v>956</v>
      </c>
      <c r="D187" s="416"/>
      <c r="E187" s="500" t="s">
        <v>729</v>
      </c>
      <c r="F187" s="500" t="s">
        <v>729</v>
      </c>
      <c r="G187" s="416"/>
      <c r="H187" s="501" t="s">
        <v>729</v>
      </c>
      <c r="I187" s="310" t="s">
        <v>560</v>
      </c>
      <c r="J187" s="459" t="s">
        <v>561</v>
      </c>
      <c r="K187" s="310" t="s">
        <v>568</v>
      </c>
      <c r="M187" s="528"/>
    </row>
    <row r="188" spans="3:13" ht="61.5" hidden="1" customHeight="1" x14ac:dyDescent="0.3">
      <c r="C188" s="371" t="s">
        <v>957</v>
      </c>
      <c r="D188" s="536"/>
      <c r="E188" s="536"/>
      <c r="F188" s="536"/>
      <c r="G188" s="536"/>
      <c r="H188" s="537"/>
      <c r="I188" s="310" t="s">
        <v>560</v>
      </c>
      <c r="J188" s="459" t="s">
        <v>561</v>
      </c>
      <c r="K188" s="549" t="s">
        <v>958</v>
      </c>
      <c r="M188" s="574"/>
    </row>
    <row r="189" spans="3:13" s="459" customFormat="1" ht="76.2" hidden="1" thickBot="1" x14ac:dyDescent="0.35">
      <c r="C189" s="371" t="s">
        <v>959</v>
      </c>
      <c r="D189" s="476"/>
      <c r="E189" s="476"/>
      <c r="F189" s="476"/>
      <c r="G189" s="476"/>
      <c r="H189" s="477"/>
      <c r="I189" s="310" t="s">
        <v>560</v>
      </c>
      <c r="J189" s="459" t="s">
        <v>561</v>
      </c>
      <c r="K189" s="549" t="s">
        <v>960</v>
      </c>
      <c r="L189" s="310"/>
    </row>
    <row r="190" spans="3:13" s="459" customFormat="1" ht="166.2" hidden="1" thickBot="1" x14ac:dyDescent="0.35">
      <c r="C190" s="418" t="s">
        <v>961</v>
      </c>
      <c r="D190" s="480"/>
      <c r="E190" s="480"/>
      <c r="F190" s="480"/>
      <c r="G190" s="480"/>
      <c r="H190" s="481"/>
      <c r="I190" s="310" t="s">
        <v>560</v>
      </c>
      <c r="J190" s="459" t="s">
        <v>561</v>
      </c>
      <c r="K190" s="549" t="s">
        <v>962</v>
      </c>
      <c r="L190" s="310"/>
    </row>
    <row r="191" spans="3:13" s="459" customFormat="1" ht="57" hidden="1" customHeight="1" thickBot="1" x14ac:dyDescent="0.35">
      <c r="C191" s="375" t="s">
        <v>963</v>
      </c>
      <c r="D191" s="482"/>
      <c r="E191" s="482"/>
      <c r="F191" s="482"/>
      <c r="G191" s="482"/>
      <c r="H191" s="483"/>
      <c r="I191" s="310" t="s">
        <v>560</v>
      </c>
      <c r="J191" s="459" t="s">
        <v>561</v>
      </c>
      <c r="K191" s="549" t="s">
        <v>964</v>
      </c>
      <c r="L191" s="310"/>
    </row>
    <row r="192" spans="3:13" ht="132" customHeight="1" x14ac:dyDescent="0.3">
      <c r="C192" s="575" t="s">
        <v>965</v>
      </c>
      <c r="D192" s="508"/>
      <c r="E192" s="509" t="s">
        <v>729</v>
      </c>
      <c r="F192" s="509" t="s">
        <v>729</v>
      </c>
      <c r="G192" s="508"/>
      <c r="H192" s="568" t="s">
        <v>729</v>
      </c>
      <c r="I192" s="310" t="s">
        <v>560</v>
      </c>
      <c r="J192" s="459" t="s">
        <v>561</v>
      </c>
      <c r="K192" s="310" t="s">
        <v>568</v>
      </c>
      <c r="M192" s="527"/>
    </row>
    <row r="193" spans="3:13" ht="56.85" hidden="1" customHeight="1" x14ac:dyDescent="0.3">
      <c r="C193" s="371" t="s">
        <v>957</v>
      </c>
      <c r="D193" s="536"/>
      <c r="E193" s="536"/>
      <c r="F193" s="536"/>
      <c r="G193" s="536"/>
      <c r="H193" s="537"/>
      <c r="I193" s="310" t="s">
        <v>560</v>
      </c>
      <c r="J193" s="459" t="s">
        <v>561</v>
      </c>
      <c r="K193" s="549" t="s">
        <v>966</v>
      </c>
      <c r="M193" s="541"/>
    </row>
    <row r="194" spans="3:13" ht="30.6" customHeight="1" thickBot="1" x14ac:dyDescent="0.35">
      <c r="C194" s="571" t="s">
        <v>967</v>
      </c>
      <c r="D194" s="500"/>
      <c r="E194" s="500"/>
      <c r="F194" s="500"/>
      <c r="G194" s="500"/>
      <c r="H194" s="501"/>
      <c r="I194" s="561" t="s">
        <v>560</v>
      </c>
      <c r="J194" t="s">
        <v>561</v>
      </c>
      <c r="K194" t="s">
        <v>562</v>
      </c>
      <c r="L194" s="562"/>
      <c r="M194" s="522"/>
    </row>
    <row r="195" spans="3:13" s="459" customFormat="1" ht="102.9" hidden="1" customHeight="1" thickBot="1" x14ac:dyDescent="0.35">
      <c r="C195" s="396" t="s">
        <v>968</v>
      </c>
      <c r="D195" s="478"/>
      <c r="E195" s="478"/>
      <c r="F195" s="478"/>
      <c r="G195" s="478"/>
      <c r="H195" s="479"/>
      <c r="I195" s="310" t="s">
        <v>560</v>
      </c>
      <c r="J195" s="459" t="s">
        <v>561</v>
      </c>
      <c r="K195" s="310" t="s">
        <v>969</v>
      </c>
      <c r="L195" s="310"/>
    </row>
    <row r="196" spans="3:13" ht="21" thickBot="1" x14ac:dyDescent="0.35">
      <c r="C196" s="576" t="s">
        <v>970</v>
      </c>
      <c r="D196" s="577"/>
      <c r="E196" s="497" t="s">
        <v>729</v>
      </c>
      <c r="F196" s="497" t="s">
        <v>729</v>
      </c>
      <c r="G196" s="577"/>
      <c r="H196" s="577"/>
      <c r="I196" s="310" t="s">
        <v>560</v>
      </c>
      <c r="J196" s="459" t="s">
        <v>561</v>
      </c>
      <c r="K196" s="310" t="s">
        <v>568</v>
      </c>
      <c r="M196" s="578"/>
    </row>
    <row r="197" spans="3:13" s="459" customFormat="1" ht="136.19999999999999" hidden="1" thickBot="1" x14ac:dyDescent="0.35">
      <c r="C197" s="396" t="s">
        <v>971</v>
      </c>
      <c r="D197" s="478"/>
      <c r="E197" s="478"/>
      <c r="F197" s="478"/>
      <c r="G197" s="478"/>
      <c r="H197" s="479"/>
      <c r="I197" s="310" t="s">
        <v>560</v>
      </c>
      <c r="J197" s="459" t="s">
        <v>561</v>
      </c>
      <c r="K197" s="549" t="s">
        <v>972</v>
      </c>
      <c r="L197" s="310"/>
    </row>
    <row r="198" spans="3:13" ht="30.6" x14ac:dyDescent="0.3">
      <c r="C198" s="579" t="s">
        <v>973</v>
      </c>
      <c r="D198" s="496"/>
      <c r="E198" s="497" t="s">
        <v>729</v>
      </c>
      <c r="F198" s="497" t="s">
        <v>729</v>
      </c>
      <c r="G198" s="496"/>
      <c r="H198" s="496"/>
      <c r="I198" s="310" t="s">
        <v>560</v>
      </c>
      <c r="J198" s="459" t="s">
        <v>561</v>
      </c>
      <c r="K198" s="310" t="s">
        <v>568</v>
      </c>
      <c r="M198" s="580"/>
    </row>
    <row r="199" spans="3:13" ht="21" x14ac:dyDescent="0.3">
      <c r="C199" s="386" t="s">
        <v>974</v>
      </c>
      <c r="D199" s="581"/>
      <c r="E199" s="581"/>
      <c r="F199" s="581"/>
      <c r="G199" s="581"/>
      <c r="H199" s="582"/>
      <c r="I199" s="561" t="s">
        <v>560</v>
      </c>
      <c r="J199" t="s">
        <v>561</v>
      </c>
      <c r="K199" t="s">
        <v>562</v>
      </c>
      <c r="L199" s="564"/>
      <c r="M199" s="583"/>
    </row>
    <row r="200" spans="3:13" ht="57.6" customHeight="1" thickBot="1" x14ac:dyDescent="0.35">
      <c r="C200" s="391" t="s">
        <v>975</v>
      </c>
      <c r="D200" s="440"/>
      <c r="E200" s="500" t="s">
        <v>729</v>
      </c>
      <c r="F200" s="500" t="s">
        <v>729</v>
      </c>
      <c r="G200" s="440"/>
      <c r="H200" s="526"/>
      <c r="I200" s="310" t="s">
        <v>560</v>
      </c>
      <c r="J200" s="459" t="s">
        <v>561</v>
      </c>
      <c r="K200" s="310" t="s">
        <v>568</v>
      </c>
      <c r="M200" s="528"/>
    </row>
    <row r="201" spans="3:13" s="459" customFormat="1" ht="182.85" hidden="1" customHeight="1" thickBot="1" x14ac:dyDescent="0.35">
      <c r="C201" s="396" t="s">
        <v>976</v>
      </c>
      <c r="D201" s="478"/>
      <c r="E201" s="478"/>
      <c r="F201" s="478"/>
      <c r="G201" s="478"/>
      <c r="H201" s="479"/>
      <c r="I201" s="310" t="s">
        <v>560</v>
      </c>
      <c r="J201" s="459" t="s">
        <v>561</v>
      </c>
      <c r="K201" s="549" t="s">
        <v>977</v>
      </c>
      <c r="L201" s="310"/>
    </row>
    <row r="202" spans="3:13" ht="44.85" customHeight="1" thickBot="1" x14ac:dyDescent="0.35">
      <c r="C202" s="403" t="s">
        <v>978</v>
      </c>
      <c r="D202" s="442"/>
      <c r="E202" s="503" t="s">
        <v>729</v>
      </c>
      <c r="F202" s="503" t="s">
        <v>729</v>
      </c>
      <c r="G202" s="442"/>
      <c r="H202" s="504"/>
      <c r="I202" s="310" t="s">
        <v>560</v>
      </c>
      <c r="J202" s="459" t="s">
        <v>561</v>
      </c>
      <c r="K202" s="549" t="s">
        <v>568</v>
      </c>
      <c r="M202" s="529"/>
    </row>
    <row r="203" spans="3:13" s="459" customFormat="1" ht="91.65" hidden="1" customHeight="1" thickBot="1" x14ac:dyDescent="0.35">
      <c r="C203" s="396" t="s">
        <v>979</v>
      </c>
      <c r="D203" s="478"/>
      <c r="E203" s="478"/>
      <c r="F203" s="478"/>
      <c r="G203" s="478"/>
      <c r="H203" s="479"/>
      <c r="I203" s="310" t="s">
        <v>560</v>
      </c>
      <c r="J203" s="459" t="s">
        <v>561</v>
      </c>
      <c r="K203" s="549" t="s">
        <v>980</v>
      </c>
      <c r="L203" s="310"/>
    </row>
    <row r="204" spans="3:13" ht="15.9" customHeight="1" x14ac:dyDescent="0.3">
      <c r="C204" s="379" t="s">
        <v>981</v>
      </c>
      <c r="D204" s="438"/>
      <c r="E204" s="509" t="s">
        <v>729</v>
      </c>
      <c r="F204" s="509" t="s">
        <v>729</v>
      </c>
      <c r="G204" s="438"/>
      <c r="H204" s="381"/>
      <c r="I204" s="310" t="s">
        <v>560</v>
      </c>
      <c r="J204" s="459" t="s">
        <v>561</v>
      </c>
      <c r="K204" s="310" t="s">
        <v>568</v>
      </c>
      <c r="M204" s="527"/>
    </row>
    <row r="205" spans="3:13" ht="18.899999999999999" customHeight="1" x14ac:dyDescent="0.3">
      <c r="C205" s="386" t="s">
        <v>982</v>
      </c>
      <c r="D205" s="389"/>
      <c r="E205" s="389"/>
      <c r="F205" s="389"/>
      <c r="G205" s="389"/>
      <c r="H205" s="524"/>
      <c r="I205" s="584" t="s">
        <v>560</v>
      </c>
      <c r="J205" s="584" t="s">
        <v>561</v>
      </c>
      <c r="K205" s="584" t="s">
        <v>562</v>
      </c>
      <c r="L205" s="564"/>
      <c r="M205" s="525"/>
    </row>
    <row r="206" spans="3:13" ht="91.5" customHeight="1" thickBot="1" x14ac:dyDescent="0.35">
      <c r="C206" s="391" t="s">
        <v>983</v>
      </c>
      <c r="D206" s="440"/>
      <c r="E206" s="500" t="s">
        <v>729</v>
      </c>
      <c r="F206" s="500" t="s">
        <v>729</v>
      </c>
      <c r="G206" s="440"/>
      <c r="H206" s="526"/>
      <c r="I206" s="310" t="s">
        <v>560</v>
      </c>
      <c r="J206" s="459" t="s">
        <v>561</v>
      </c>
      <c r="K206" s="310" t="s">
        <v>568</v>
      </c>
      <c r="M206" s="528"/>
    </row>
    <row r="207" spans="3:13" s="459" customFormat="1" ht="72" hidden="1" customHeight="1" x14ac:dyDescent="0.3">
      <c r="C207" s="371" t="s">
        <v>984</v>
      </c>
      <c r="D207" s="476"/>
      <c r="E207" s="476"/>
      <c r="F207" s="476"/>
      <c r="G207" s="476"/>
      <c r="H207" s="477"/>
      <c r="I207" s="310" t="s">
        <v>560</v>
      </c>
      <c r="J207" s="459" t="s">
        <v>561</v>
      </c>
      <c r="K207" s="549" t="s">
        <v>985</v>
      </c>
      <c r="L207" s="310"/>
    </row>
    <row r="208" spans="3:13" s="459" customFormat="1" ht="106.2" hidden="1" thickBot="1" x14ac:dyDescent="0.35">
      <c r="C208" s="418" t="s">
        <v>986</v>
      </c>
      <c r="D208" s="480"/>
      <c r="E208" s="480"/>
      <c r="F208" s="480"/>
      <c r="G208" s="480"/>
      <c r="H208" s="481"/>
      <c r="I208" s="310" t="s">
        <v>560</v>
      </c>
      <c r="J208" s="459" t="s">
        <v>561</v>
      </c>
      <c r="K208" s="549" t="s">
        <v>987</v>
      </c>
      <c r="L208" s="310"/>
    </row>
    <row r="209" spans="3:13" s="459" customFormat="1" ht="46.2" hidden="1" thickBot="1" x14ac:dyDescent="0.35">
      <c r="C209" s="375" t="s">
        <v>988</v>
      </c>
      <c r="D209" s="482"/>
      <c r="E209" s="482"/>
      <c r="F209" s="482"/>
      <c r="G209" s="482"/>
      <c r="H209" s="483"/>
      <c r="I209" s="310" t="s">
        <v>560</v>
      </c>
      <c r="J209" s="459" t="s">
        <v>561</v>
      </c>
      <c r="K209" s="549" t="s">
        <v>989</v>
      </c>
      <c r="L209" s="310"/>
    </row>
    <row r="210" spans="3:13" ht="38.85" customHeight="1" thickBot="1" x14ac:dyDescent="0.35">
      <c r="C210" s="403" t="s">
        <v>990</v>
      </c>
      <c r="D210" s="442"/>
      <c r="E210" s="503" t="s">
        <v>729</v>
      </c>
      <c r="F210" s="503" t="s">
        <v>729</v>
      </c>
      <c r="G210" s="442"/>
      <c r="H210" s="504"/>
      <c r="I210" s="310" t="s">
        <v>560</v>
      </c>
      <c r="J210" s="459" t="s">
        <v>561</v>
      </c>
      <c r="K210" s="549" t="s">
        <v>568</v>
      </c>
      <c r="M210" s="529"/>
    </row>
    <row r="211" spans="3:13" s="459" customFormat="1" ht="73.5" hidden="1" customHeight="1" x14ac:dyDescent="0.3">
      <c r="C211" s="371" t="s">
        <v>991</v>
      </c>
      <c r="D211" s="476"/>
      <c r="E211" s="476"/>
      <c r="F211" s="476"/>
      <c r="G211" s="476"/>
      <c r="H211" s="477"/>
      <c r="I211" s="310" t="s">
        <v>560</v>
      </c>
      <c r="J211" s="459" t="s">
        <v>561</v>
      </c>
      <c r="K211" s="549" t="s">
        <v>992</v>
      </c>
      <c r="L211" s="310"/>
    </row>
    <row r="212" spans="3:13" s="459" customFormat="1" ht="106.2" hidden="1" thickBot="1" x14ac:dyDescent="0.35">
      <c r="C212" s="375" t="s">
        <v>986</v>
      </c>
      <c r="D212" s="482"/>
      <c r="E212" s="482"/>
      <c r="F212" s="482"/>
      <c r="G212" s="482"/>
      <c r="H212" s="483"/>
      <c r="I212" s="310" t="s">
        <v>560</v>
      </c>
      <c r="J212" s="459" t="s">
        <v>561</v>
      </c>
      <c r="K212" s="549" t="s">
        <v>993</v>
      </c>
      <c r="L212" s="310"/>
    </row>
    <row r="213" spans="3:13" ht="59.25" customHeight="1" thickBot="1" x14ac:dyDescent="0.35">
      <c r="C213" s="403" t="s">
        <v>994</v>
      </c>
      <c r="D213" s="442"/>
      <c r="E213" s="503" t="s">
        <v>729</v>
      </c>
      <c r="F213" s="503" t="s">
        <v>729</v>
      </c>
      <c r="G213" s="442"/>
      <c r="H213" s="504"/>
      <c r="I213" s="310" t="s">
        <v>560</v>
      </c>
      <c r="J213" s="459" t="s">
        <v>561</v>
      </c>
      <c r="K213" s="549" t="s">
        <v>568</v>
      </c>
      <c r="M213" s="529"/>
    </row>
    <row r="214" spans="3:13" s="459" customFormat="1" ht="76.650000000000006" hidden="1" customHeight="1" thickBot="1" x14ac:dyDescent="0.35">
      <c r="C214" s="396" t="s">
        <v>991</v>
      </c>
      <c r="D214" s="478"/>
      <c r="E214" s="478"/>
      <c r="F214" s="478"/>
      <c r="G214" s="478"/>
      <c r="H214" s="479"/>
      <c r="I214" s="310" t="s">
        <v>560</v>
      </c>
      <c r="J214" s="459" t="s">
        <v>561</v>
      </c>
      <c r="K214" s="549" t="s">
        <v>995</v>
      </c>
      <c r="L214" s="310"/>
    </row>
    <row r="215" spans="3:13" ht="21" x14ac:dyDescent="0.3">
      <c r="C215" s="413" t="s">
        <v>996</v>
      </c>
      <c r="D215" s="414"/>
      <c r="E215" s="414"/>
      <c r="F215" s="414"/>
      <c r="G215" s="414"/>
      <c r="H215" s="585"/>
      <c r="I215" s="310" t="s">
        <v>560</v>
      </c>
      <c r="J215" s="459" t="s">
        <v>561</v>
      </c>
      <c r="K215" s="310" t="s">
        <v>562</v>
      </c>
      <c r="M215" s="586"/>
    </row>
    <row r="216" spans="3:13" ht="20.399999999999999" x14ac:dyDescent="0.3">
      <c r="C216" s="386" t="s">
        <v>997</v>
      </c>
      <c r="D216" s="389"/>
      <c r="E216" s="389"/>
      <c r="F216" s="389"/>
      <c r="G216" s="389"/>
      <c r="H216" s="524"/>
      <c r="I216" s="310" t="s">
        <v>560</v>
      </c>
      <c r="J216" s="459" t="s">
        <v>561</v>
      </c>
      <c r="K216" s="310" t="s">
        <v>562</v>
      </c>
      <c r="M216" s="525"/>
    </row>
    <row r="217" spans="3:13" ht="54.9" customHeight="1" thickBot="1" x14ac:dyDescent="0.35">
      <c r="C217" s="391" t="s">
        <v>998</v>
      </c>
      <c r="D217" s="416"/>
      <c r="E217" s="500" t="s">
        <v>729</v>
      </c>
      <c r="F217" s="500" t="s">
        <v>729</v>
      </c>
      <c r="G217" s="416"/>
      <c r="H217" s="514"/>
      <c r="I217" s="370" t="s">
        <v>574</v>
      </c>
      <c r="J217" s="459" t="s">
        <v>561</v>
      </c>
      <c r="K217" s="310" t="s">
        <v>568</v>
      </c>
      <c r="M217" s="528"/>
    </row>
    <row r="218" spans="3:13" s="459" customFormat="1" ht="88.65" hidden="1" customHeight="1" thickBot="1" x14ac:dyDescent="0.35">
      <c r="C218" s="396" t="s">
        <v>999</v>
      </c>
      <c r="D218" s="478"/>
      <c r="E218" s="478"/>
      <c r="F218" s="478"/>
      <c r="G218" s="478"/>
      <c r="H218" s="479"/>
      <c r="I218" s="370" t="s">
        <v>574</v>
      </c>
      <c r="J218" s="459" t="s">
        <v>561</v>
      </c>
      <c r="K218" s="549" t="s">
        <v>1000</v>
      </c>
      <c r="L218" s="310"/>
    </row>
    <row r="219" spans="3:13" ht="59.25" customHeight="1" thickBot="1" x14ac:dyDescent="0.35">
      <c r="C219" s="403" t="s">
        <v>1001</v>
      </c>
      <c r="D219" s="404"/>
      <c r="E219" s="503" t="s">
        <v>729</v>
      </c>
      <c r="F219" s="503" t="s">
        <v>729</v>
      </c>
      <c r="G219" s="404"/>
      <c r="H219" s="566"/>
      <c r="I219" s="310" t="s">
        <v>868</v>
      </c>
      <c r="J219" s="459" t="s">
        <v>561</v>
      </c>
      <c r="K219" s="310" t="s">
        <v>568</v>
      </c>
      <c r="M219" s="529"/>
    </row>
    <row r="220" spans="3:13" s="459" customFormat="1" ht="93" hidden="1" customHeight="1" thickBot="1" x14ac:dyDescent="0.35">
      <c r="C220" s="396" t="s">
        <v>999</v>
      </c>
      <c r="D220" s="478"/>
      <c r="E220" s="478"/>
      <c r="F220" s="478"/>
      <c r="G220" s="478"/>
      <c r="H220" s="479"/>
      <c r="I220" s="370" t="s">
        <v>868</v>
      </c>
      <c r="J220" s="459" t="s">
        <v>561</v>
      </c>
      <c r="K220" s="549" t="s">
        <v>1002</v>
      </c>
      <c r="L220" s="310"/>
    </row>
    <row r="221" spans="3:13" ht="20.399999999999999" x14ac:dyDescent="0.3">
      <c r="C221" s="379" t="s">
        <v>1003</v>
      </c>
      <c r="D221" s="508"/>
      <c r="E221" s="509" t="s">
        <v>729</v>
      </c>
      <c r="F221" s="509" t="s">
        <v>729</v>
      </c>
      <c r="G221" s="508"/>
      <c r="H221" s="510"/>
      <c r="I221" s="310" t="s">
        <v>560</v>
      </c>
      <c r="J221" s="459" t="s">
        <v>561</v>
      </c>
      <c r="K221" s="310" t="s">
        <v>568</v>
      </c>
      <c r="M221" s="527"/>
    </row>
    <row r="222" spans="3:13" ht="29.25" customHeight="1" thickBot="1" x14ac:dyDescent="0.35">
      <c r="C222" s="391" t="s">
        <v>1004</v>
      </c>
      <c r="D222" s="416"/>
      <c r="E222" s="500" t="s">
        <v>729</v>
      </c>
      <c r="F222" s="416"/>
      <c r="G222" s="416"/>
      <c r="H222" s="501" t="s">
        <v>729</v>
      </c>
      <c r="I222" s="310" t="s">
        <v>560</v>
      </c>
      <c r="J222" s="459" t="s">
        <v>561</v>
      </c>
      <c r="K222" s="310" t="s">
        <v>568</v>
      </c>
      <c r="M222" s="528"/>
    </row>
    <row r="223" spans="3:13" s="459" customFormat="1" ht="126.9" hidden="1" customHeight="1" thickBot="1" x14ac:dyDescent="0.35">
      <c r="C223" s="396" t="s">
        <v>1005</v>
      </c>
      <c r="D223" s="478"/>
      <c r="E223" s="478"/>
      <c r="F223" s="478"/>
      <c r="G223" s="478"/>
      <c r="H223" s="479"/>
      <c r="I223" s="310" t="s">
        <v>560</v>
      </c>
      <c r="J223" s="459" t="s">
        <v>561</v>
      </c>
      <c r="K223" s="549" t="s">
        <v>1006</v>
      </c>
      <c r="L223" s="310"/>
    </row>
    <row r="224" spans="3:13" ht="48.6" customHeight="1" thickBot="1" x14ac:dyDescent="0.35">
      <c r="C224" s="403" t="s">
        <v>1007</v>
      </c>
      <c r="D224" s="404"/>
      <c r="E224" s="503" t="s">
        <v>729</v>
      </c>
      <c r="F224" s="503" t="s">
        <v>729</v>
      </c>
      <c r="G224" s="404"/>
      <c r="H224" s="506" t="s">
        <v>729</v>
      </c>
      <c r="I224" s="310" t="s">
        <v>560</v>
      </c>
      <c r="J224" s="459" t="s">
        <v>561</v>
      </c>
      <c r="K224" s="310" t="s">
        <v>568</v>
      </c>
      <c r="M224" s="529"/>
    </row>
    <row r="225" spans="3:13" s="459" customFormat="1" ht="76.5" hidden="1" customHeight="1" thickBot="1" x14ac:dyDescent="0.35">
      <c r="C225" s="396" t="s">
        <v>1008</v>
      </c>
      <c r="D225" s="478"/>
      <c r="E225" s="478"/>
      <c r="F225" s="478"/>
      <c r="G225" s="478"/>
      <c r="H225" s="479"/>
      <c r="I225" s="310" t="s">
        <v>560</v>
      </c>
      <c r="J225" s="459" t="s">
        <v>561</v>
      </c>
      <c r="K225" s="549" t="s">
        <v>1009</v>
      </c>
      <c r="L225" s="310"/>
    </row>
    <row r="226" spans="3:13" ht="21" x14ac:dyDescent="0.3">
      <c r="C226" s="413" t="s">
        <v>1010</v>
      </c>
      <c r="D226" s="533"/>
      <c r="E226" s="533"/>
      <c r="F226" s="533"/>
      <c r="G226" s="533"/>
      <c r="H226" s="534"/>
      <c r="I226" s="584" t="s">
        <v>560</v>
      </c>
      <c r="J226" s="584" t="s">
        <v>561</v>
      </c>
      <c r="K226" s="310" t="s">
        <v>562</v>
      </c>
      <c r="L226" s="564"/>
      <c r="M226" s="535"/>
    </row>
    <row r="227" spans="3:13" ht="30" customHeight="1" thickBot="1" x14ac:dyDescent="0.35">
      <c r="C227" s="391" t="s">
        <v>1011</v>
      </c>
      <c r="D227" s="500"/>
      <c r="E227" s="500"/>
      <c r="F227" s="500"/>
      <c r="G227" s="500"/>
      <c r="H227" s="501"/>
      <c r="I227" s="310" t="s">
        <v>560</v>
      </c>
      <c r="J227" s="459" t="s">
        <v>561</v>
      </c>
      <c r="K227" s="310" t="s">
        <v>568</v>
      </c>
      <c r="M227" s="528"/>
    </row>
    <row r="228" spans="3:13" s="459" customFormat="1" ht="100.65" hidden="1" customHeight="1" thickBot="1" x14ac:dyDescent="0.35">
      <c r="C228" s="396" t="s">
        <v>717</v>
      </c>
      <c r="D228" s="478"/>
      <c r="E228" s="478"/>
      <c r="F228" s="478"/>
      <c r="G228" s="478"/>
      <c r="H228" s="479"/>
      <c r="I228" s="310" t="s">
        <v>560</v>
      </c>
      <c r="J228" s="459" t="s">
        <v>561</v>
      </c>
      <c r="K228" s="310" t="s">
        <v>1012</v>
      </c>
      <c r="L228" s="310"/>
    </row>
    <row r="229" spans="3:13" ht="60.9" customHeight="1" thickBot="1" x14ac:dyDescent="0.35">
      <c r="C229" s="403" t="s">
        <v>1013</v>
      </c>
      <c r="D229" s="442"/>
      <c r="E229" s="503" t="s">
        <v>729</v>
      </c>
      <c r="F229" s="442"/>
      <c r="G229" s="442"/>
      <c r="H229" s="504"/>
      <c r="I229" s="310" t="s">
        <v>584</v>
      </c>
      <c r="J229" s="459" t="s">
        <v>561</v>
      </c>
      <c r="K229" s="310" t="s">
        <v>568</v>
      </c>
      <c r="M229" s="529"/>
    </row>
    <row r="230" spans="3:13" s="459" customFormat="1" ht="108.6" hidden="1" customHeight="1" thickBot="1" x14ac:dyDescent="0.35">
      <c r="C230" s="396" t="s">
        <v>717</v>
      </c>
      <c r="D230" s="478"/>
      <c r="E230" s="478"/>
      <c r="F230" s="478"/>
      <c r="G230" s="478"/>
      <c r="H230" s="479"/>
      <c r="I230" s="310" t="s">
        <v>584</v>
      </c>
      <c r="J230" s="459" t="s">
        <v>561</v>
      </c>
      <c r="K230" s="310" t="s">
        <v>1014</v>
      </c>
      <c r="L230" s="310"/>
    </row>
    <row r="231" spans="3:13" ht="66.900000000000006" customHeight="1" thickBot="1" x14ac:dyDescent="0.35">
      <c r="C231" s="403" t="s">
        <v>1015</v>
      </c>
      <c r="D231" s="442"/>
      <c r="E231" s="503" t="s">
        <v>729</v>
      </c>
      <c r="F231" s="442"/>
      <c r="G231" s="442"/>
      <c r="H231" s="504"/>
      <c r="I231" s="310" t="s">
        <v>570</v>
      </c>
      <c r="J231" s="459" t="s">
        <v>561</v>
      </c>
      <c r="K231" s="310" t="s">
        <v>568</v>
      </c>
      <c r="M231" s="529"/>
    </row>
    <row r="232" spans="3:13" s="459" customFormat="1" ht="99.6" hidden="1" customHeight="1" thickBot="1" x14ac:dyDescent="0.35">
      <c r="C232" s="396" t="s">
        <v>717</v>
      </c>
      <c r="D232" s="478"/>
      <c r="E232" s="478"/>
      <c r="F232" s="478"/>
      <c r="G232" s="478"/>
      <c r="H232" s="479"/>
      <c r="I232" s="310" t="s">
        <v>570</v>
      </c>
      <c r="J232" s="459" t="s">
        <v>561</v>
      </c>
      <c r="K232" s="310" t="s">
        <v>1016</v>
      </c>
      <c r="L232" s="310"/>
    </row>
    <row r="233" spans="3:13" ht="27.9" customHeight="1" thickBot="1" x14ac:dyDescent="0.35">
      <c r="C233" s="403" t="s">
        <v>1017</v>
      </c>
      <c r="D233" s="503"/>
      <c r="E233" s="503"/>
      <c r="F233" s="503"/>
      <c r="G233" s="503"/>
      <c r="H233" s="506"/>
      <c r="I233" s="310" t="s">
        <v>560</v>
      </c>
      <c r="J233" s="459" t="s">
        <v>561</v>
      </c>
      <c r="K233" s="310" t="s">
        <v>568</v>
      </c>
      <c r="M233" s="529"/>
    </row>
    <row r="234" spans="3:13" s="459" customFormat="1" ht="126.9" hidden="1" customHeight="1" thickBot="1" x14ac:dyDescent="0.35">
      <c r="C234" s="396" t="s">
        <v>1018</v>
      </c>
      <c r="D234" s="478"/>
      <c r="E234" s="478"/>
      <c r="F234" s="478"/>
      <c r="G234" s="478"/>
      <c r="H234" s="479"/>
      <c r="I234" s="310" t="s">
        <v>560</v>
      </c>
      <c r="J234" s="459" t="s">
        <v>561</v>
      </c>
      <c r="K234" s="310" t="s">
        <v>1019</v>
      </c>
      <c r="L234" s="310"/>
    </row>
    <row r="235" spans="3:13" ht="65.25" customHeight="1" thickBot="1" x14ac:dyDescent="0.35">
      <c r="C235" s="403" t="s">
        <v>1020</v>
      </c>
      <c r="D235" s="404"/>
      <c r="E235" s="503" t="s">
        <v>729</v>
      </c>
      <c r="F235" s="404"/>
      <c r="G235" s="404"/>
      <c r="H235" s="566"/>
      <c r="I235" s="310" t="s">
        <v>584</v>
      </c>
      <c r="J235" s="459" t="s">
        <v>561</v>
      </c>
      <c r="K235" s="310" t="s">
        <v>568</v>
      </c>
      <c r="M235" s="529"/>
    </row>
    <row r="236" spans="3:13" s="459" customFormat="1" ht="133.65" hidden="1" customHeight="1" x14ac:dyDescent="0.3">
      <c r="C236" s="371" t="s">
        <v>717</v>
      </c>
      <c r="D236" s="476"/>
      <c r="E236" s="476"/>
      <c r="F236" s="476"/>
      <c r="G236" s="476"/>
      <c r="H236" s="477"/>
      <c r="I236" s="310" t="s">
        <v>584</v>
      </c>
      <c r="J236" s="459" t="s">
        <v>561</v>
      </c>
      <c r="K236" s="310" t="s">
        <v>1021</v>
      </c>
      <c r="L236" s="310"/>
    </row>
    <row r="237" spans="3:13" s="459" customFormat="1" ht="91.2" hidden="1" thickBot="1" x14ac:dyDescent="0.35">
      <c r="C237" s="375" t="s">
        <v>1022</v>
      </c>
      <c r="D237" s="482"/>
      <c r="E237" s="482"/>
      <c r="F237" s="482"/>
      <c r="G237" s="482"/>
      <c r="H237" s="483"/>
      <c r="I237" s="310" t="s">
        <v>584</v>
      </c>
      <c r="J237" s="459" t="s">
        <v>561</v>
      </c>
      <c r="K237" s="310" t="s">
        <v>1023</v>
      </c>
      <c r="L237" s="310"/>
    </row>
    <row r="238" spans="3:13" ht="61.5" customHeight="1" thickBot="1" x14ac:dyDescent="0.35">
      <c r="C238" s="403" t="s">
        <v>1024</v>
      </c>
      <c r="D238" s="404"/>
      <c r="E238" s="503" t="s">
        <v>729</v>
      </c>
      <c r="F238" s="404"/>
      <c r="G238" s="404"/>
      <c r="H238" s="566"/>
      <c r="I238" s="310" t="s">
        <v>570</v>
      </c>
      <c r="J238" s="459" t="s">
        <v>561</v>
      </c>
      <c r="K238" s="310" t="s">
        <v>568</v>
      </c>
      <c r="M238" s="529"/>
    </row>
    <row r="239" spans="3:13" s="459" customFormat="1" ht="121.65" hidden="1" customHeight="1" x14ac:dyDescent="0.3">
      <c r="C239" s="371" t="s">
        <v>717</v>
      </c>
      <c r="D239" s="476"/>
      <c r="E239" s="476"/>
      <c r="F239" s="476"/>
      <c r="G239" s="476"/>
      <c r="H239" s="477"/>
      <c r="I239" s="310" t="s">
        <v>570</v>
      </c>
      <c r="J239" s="459" t="s">
        <v>561</v>
      </c>
      <c r="K239" s="310" t="s">
        <v>1025</v>
      </c>
      <c r="L239" s="310"/>
    </row>
    <row r="240" spans="3:13" s="459" customFormat="1" ht="91.2" hidden="1" thickBot="1" x14ac:dyDescent="0.35">
      <c r="C240" s="375" t="s">
        <v>1022</v>
      </c>
      <c r="D240" s="482"/>
      <c r="E240" s="482"/>
      <c r="F240" s="482"/>
      <c r="G240" s="482"/>
      <c r="H240" s="483"/>
      <c r="I240" s="310" t="s">
        <v>570</v>
      </c>
      <c r="J240" s="459" t="s">
        <v>561</v>
      </c>
      <c r="K240" s="310" t="s">
        <v>1026</v>
      </c>
      <c r="L240" s="310"/>
    </row>
    <row r="241" spans="3:13" ht="20.399999999999999" x14ac:dyDescent="0.3">
      <c r="C241" s="379" t="s">
        <v>1027</v>
      </c>
      <c r="D241" s="508"/>
      <c r="E241" s="509" t="s">
        <v>729</v>
      </c>
      <c r="F241" s="508"/>
      <c r="G241" s="508"/>
      <c r="H241" s="510"/>
      <c r="I241" s="310" t="s">
        <v>560</v>
      </c>
      <c r="J241" s="459" t="s">
        <v>561</v>
      </c>
      <c r="K241" s="310" t="s">
        <v>568</v>
      </c>
      <c r="M241" s="527"/>
    </row>
    <row r="242" spans="3:13" ht="45.6" x14ac:dyDescent="0.3">
      <c r="C242" s="383" t="s">
        <v>1028</v>
      </c>
      <c r="D242" s="496"/>
      <c r="E242" s="497" t="s">
        <v>729</v>
      </c>
      <c r="F242" s="496"/>
      <c r="G242" s="496"/>
      <c r="H242" s="512"/>
      <c r="I242" s="310" t="s">
        <v>560</v>
      </c>
      <c r="J242" s="459" t="s">
        <v>561</v>
      </c>
      <c r="K242" s="310" t="s">
        <v>568</v>
      </c>
      <c r="M242" s="540"/>
    </row>
    <row r="243" spans="3:13" ht="57" customHeight="1" thickBot="1" x14ac:dyDescent="0.35">
      <c r="C243" s="391" t="s">
        <v>1029</v>
      </c>
      <c r="D243" s="416"/>
      <c r="E243" s="500" t="s">
        <v>729</v>
      </c>
      <c r="F243" s="500" t="s">
        <v>729</v>
      </c>
      <c r="G243" s="416"/>
      <c r="H243" s="514"/>
      <c r="I243" s="310" t="s">
        <v>868</v>
      </c>
      <c r="J243" s="459" t="s">
        <v>561</v>
      </c>
      <c r="K243" s="310" t="s">
        <v>568</v>
      </c>
      <c r="M243" s="528"/>
    </row>
    <row r="244" spans="3:13" s="459" customFormat="1" ht="60.6" hidden="1" customHeight="1" x14ac:dyDescent="0.3">
      <c r="C244" s="371" t="s">
        <v>1030</v>
      </c>
      <c r="D244" s="476"/>
      <c r="E244" s="476"/>
      <c r="F244" s="476"/>
      <c r="G244" s="476"/>
      <c r="H244" s="477"/>
      <c r="I244" s="310" t="s">
        <v>868</v>
      </c>
      <c r="J244" s="459" t="s">
        <v>561</v>
      </c>
      <c r="K244" s="310" t="s">
        <v>1031</v>
      </c>
      <c r="L244" s="310"/>
    </row>
    <row r="245" spans="3:13" s="459" customFormat="1" ht="76.2" hidden="1" thickBot="1" x14ac:dyDescent="0.35">
      <c r="C245" s="375" t="s">
        <v>1032</v>
      </c>
      <c r="D245" s="482"/>
      <c r="E245" s="482"/>
      <c r="F245" s="482"/>
      <c r="G245" s="482"/>
      <c r="H245" s="483"/>
      <c r="I245" s="310" t="s">
        <v>868</v>
      </c>
      <c r="J245" s="459" t="s">
        <v>561</v>
      </c>
      <c r="K245" s="310" t="s">
        <v>1033</v>
      </c>
      <c r="L245" s="310"/>
    </row>
    <row r="246" spans="3:13" ht="59.25" customHeight="1" thickBot="1" x14ac:dyDescent="0.35">
      <c r="C246" s="403" t="s">
        <v>1034</v>
      </c>
      <c r="D246" s="404"/>
      <c r="E246" s="503" t="s">
        <v>729</v>
      </c>
      <c r="F246" s="503" t="s">
        <v>729</v>
      </c>
      <c r="G246" s="404"/>
      <c r="H246" s="566"/>
      <c r="I246" s="370" t="s">
        <v>574</v>
      </c>
      <c r="J246" s="459" t="s">
        <v>561</v>
      </c>
      <c r="K246" s="310" t="s">
        <v>568</v>
      </c>
      <c r="M246" s="529"/>
    </row>
    <row r="247" spans="3:13" s="459" customFormat="1" ht="56.85" hidden="1" customHeight="1" x14ac:dyDescent="0.3">
      <c r="C247" s="371" t="s">
        <v>1030</v>
      </c>
      <c r="D247" s="476"/>
      <c r="E247" s="476"/>
      <c r="F247" s="476"/>
      <c r="G247" s="476"/>
      <c r="H247" s="477"/>
      <c r="I247" s="370" t="s">
        <v>574</v>
      </c>
      <c r="J247" s="459" t="s">
        <v>561</v>
      </c>
      <c r="K247" s="310" t="s">
        <v>1035</v>
      </c>
      <c r="L247" s="310"/>
    </row>
    <row r="248" spans="3:13" s="459" customFormat="1" ht="76.2" hidden="1" thickBot="1" x14ac:dyDescent="0.35">
      <c r="C248" s="375" t="s">
        <v>1032</v>
      </c>
      <c r="D248" s="482"/>
      <c r="E248" s="482"/>
      <c r="F248" s="482"/>
      <c r="G248" s="482"/>
      <c r="H248" s="483"/>
      <c r="I248" s="370" t="s">
        <v>574</v>
      </c>
      <c r="J248" s="459" t="s">
        <v>561</v>
      </c>
      <c r="K248" s="310" t="s">
        <v>1036</v>
      </c>
      <c r="L248" s="310"/>
    </row>
    <row r="249" spans="3:13" ht="48" customHeight="1" thickBot="1" x14ac:dyDescent="0.35">
      <c r="C249" s="403" t="s">
        <v>1037</v>
      </c>
      <c r="D249" s="404"/>
      <c r="E249" s="503" t="s">
        <v>729</v>
      </c>
      <c r="F249" s="503" t="s">
        <v>729</v>
      </c>
      <c r="G249" s="404"/>
      <c r="H249" s="566"/>
      <c r="I249" s="370" t="s">
        <v>574</v>
      </c>
      <c r="J249" s="459" t="s">
        <v>561</v>
      </c>
      <c r="K249" s="310" t="s">
        <v>568</v>
      </c>
      <c r="M249" s="529"/>
    </row>
    <row r="250" spans="3:13" s="459" customFormat="1" ht="134.85" hidden="1" customHeight="1" thickBot="1" x14ac:dyDescent="0.35">
      <c r="C250" s="396" t="s">
        <v>1018</v>
      </c>
      <c r="D250" s="478"/>
      <c r="E250" s="478"/>
      <c r="F250" s="478"/>
      <c r="G250" s="478"/>
      <c r="H250" s="479"/>
      <c r="I250" s="370" t="s">
        <v>574</v>
      </c>
      <c r="J250" s="459" t="s">
        <v>561</v>
      </c>
      <c r="K250" s="310" t="s">
        <v>1038</v>
      </c>
      <c r="L250" s="310"/>
    </row>
    <row r="251" spans="3:13" ht="21" x14ac:dyDescent="0.3">
      <c r="C251" s="413" t="s">
        <v>1039</v>
      </c>
      <c r="D251" s="414"/>
      <c r="E251" s="414"/>
      <c r="F251" s="414"/>
      <c r="G251" s="414"/>
      <c r="H251" s="534"/>
      <c r="I251" s="584" t="s">
        <v>560</v>
      </c>
      <c r="J251" s="584" t="s">
        <v>561</v>
      </c>
      <c r="K251" s="310" t="s">
        <v>562</v>
      </c>
      <c r="L251" s="564"/>
      <c r="M251" s="535"/>
    </row>
    <row r="252" spans="3:13" ht="57" customHeight="1" thickBot="1" x14ac:dyDescent="0.35">
      <c r="C252" s="391" t="s">
        <v>1040</v>
      </c>
      <c r="D252" s="416"/>
      <c r="E252" s="500" t="s">
        <v>729</v>
      </c>
      <c r="F252" s="500" t="s">
        <v>729</v>
      </c>
      <c r="G252" s="416"/>
      <c r="H252" s="514"/>
      <c r="I252" s="370" t="s">
        <v>574</v>
      </c>
      <c r="J252" s="459" t="s">
        <v>561</v>
      </c>
      <c r="K252" s="310" t="s">
        <v>568</v>
      </c>
      <c r="M252" s="528"/>
    </row>
    <row r="253" spans="3:13" s="459" customFormat="1" ht="75.900000000000006" hidden="1" customHeight="1" thickBot="1" x14ac:dyDescent="0.35">
      <c r="C253" s="396" t="s">
        <v>1041</v>
      </c>
      <c r="D253" s="478"/>
      <c r="E253" s="478"/>
      <c r="F253" s="478"/>
      <c r="G253" s="478"/>
      <c r="H253" s="479"/>
      <c r="I253" s="370" t="s">
        <v>574</v>
      </c>
      <c r="J253" s="459" t="s">
        <v>561</v>
      </c>
      <c r="K253" s="310" t="s">
        <v>1042</v>
      </c>
      <c r="L253" s="310"/>
    </row>
    <row r="254" spans="3:13" ht="55.65" customHeight="1" thickBot="1" x14ac:dyDescent="0.35">
      <c r="C254" s="403" t="s">
        <v>1043</v>
      </c>
      <c r="D254" s="404"/>
      <c r="E254" s="503" t="s">
        <v>729</v>
      </c>
      <c r="F254" s="503" t="s">
        <v>729</v>
      </c>
      <c r="G254" s="404"/>
      <c r="H254" s="566"/>
      <c r="I254" s="310" t="s">
        <v>868</v>
      </c>
      <c r="J254" s="459" t="s">
        <v>561</v>
      </c>
      <c r="K254" s="310" t="s">
        <v>568</v>
      </c>
      <c r="M254" s="529"/>
    </row>
    <row r="255" spans="3:13" s="459" customFormat="1" ht="75" hidden="1" customHeight="1" thickBot="1" x14ac:dyDescent="0.35">
      <c r="C255" s="396" t="s">
        <v>1041</v>
      </c>
      <c r="D255" s="478"/>
      <c r="E255" s="478"/>
      <c r="F255" s="478"/>
      <c r="G255" s="478"/>
      <c r="H255" s="479"/>
      <c r="I255" s="310" t="s">
        <v>868</v>
      </c>
      <c r="J255" s="459" t="s">
        <v>561</v>
      </c>
      <c r="K255" s="310" t="s">
        <v>1044</v>
      </c>
      <c r="L255" s="310"/>
    </row>
    <row r="256" spans="3:13" ht="32.85" customHeight="1" x14ac:dyDescent="0.3">
      <c r="C256" s="379" t="s">
        <v>1045</v>
      </c>
      <c r="D256" s="508"/>
      <c r="E256" s="509" t="s">
        <v>729</v>
      </c>
      <c r="F256" s="509" t="s">
        <v>729</v>
      </c>
      <c r="G256" s="508"/>
      <c r="H256" s="510"/>
      <c r="I256" s="370" t="s">
        <v>574</v>
      </c>
      <c r="J256" s="459" t="s">
        <v>561</v>
      </c>
      <c r="K256" s="310" t="s">
        <v>568</v>
      </c>
      <c r="M256" s="527"/>
    </row>
    <row r="257" spans="2:13" ht="21.6" customHeight="1" x14ac:dyDescent="0.3">
      <c r="C257" s="386" t="s">
        <v>1046</v>
      </c>
      <c r="D257" s="389"/>
      <c r="E257" s="389"/>
      <c r="F257" s="389"/>
      <c r="G257" s="389"/>
      <c r="H257" s="524"/>
      <c r="I257" s="584" t="s">
        <v>560</v>
      </c>
      <c r="J257" s="584" t="s">
        <v>561</v>
      </c>
      <c r="K257" s="584" t="s">
        <v>562</v>
      </c>
      <c r="L257" s="564"/>
      <c r="M257" s="525"/>
    </row>
    <row r="258" spans="2:13" ht="63.9" customHeight="1" thickBot="1" x14ac:dyDescent="0.35">
      <c r="C258" s="391" t="s">
        <v>1047</v>
      </c>
      <c r="D258" s="440"/>
      <c r="E258" s="500" t="s">
        <v>729</v>
      </c>
      <c r="F258" s="500" t="s">
        <v>729</v>
      </c>
      <c r="G258" s="440"/>
      <c r="H258" s="526"/>
      <c r="I258" s="310" t="s">
        <v>560</v>
      </c>
      <c r="J258" s="459" t="s">
        <v>561</v>
      </c>
      <c r="K258" s="310" t="s">
        <v>568</v>
      </c>
      <c r="M258" s="528"/>
    </row>
    <row r="259" spans="2:13" s="459" customFormat="1" ht="135.9" hidden="1" customHeight="1" x14ac:dyDescent="0.3">
      <c r="C259" s="396" t="s">
        <v>1048</v>
      </c>
      <c r="D259" s="478"/>
      <c r="E259" s="478"/>
      <c r="F259" s="478"/>
      <c r="G259" s="478"/>
      <c r="H259" s="587"/>
      <c r="I259" s="310" t="s">
        <v>560</v>
      </c>
      <c r="J259" s="459" t="s">
        <v>561</v>
      </c>
      <c r="K259" s="310" t="s">
        <v>1049</v>
      </c>
      <c r="L259" s="310"/>
    </row>
    <row r="260" spans="2:13" ht="8.25" customHeight="1" thickBot="1" x14ac:dyDescent="0.35">
      <c r="C260" s="402"/>
      <c r="D260" s="331"/>
      <c r="E260" s="331"/>
      <c r="F260" s="331"/>
      <c r="G260" s="331"/>
      <c r="H260" s="331"/>
    </row>
    <row r="261" spans="2:13" ht="30.75" customHeight="1" x14ac:dyDescent="0.3">
      <c r="B261" s="321" t="s">
        <v>707</v>
      </c>
      <c r="C261" s="452" t="str">
        <f>IF('[2]Project Information'!$C$23="","",'[2]Project Information'!$C$23)</f>
        <v/>
      </c>
      <c r="D261" s="1720" t="s">
        <v>1050</v>
      </c>
      <c r="E261" s="1720"/>
      <c r="F261" s="588"/>
      <c r="G261" s="322" t="s">
        <v>1051</v>
      </c>
      <c r="H261" s="589"/>
    </row>
    <row r="262" spans="2:13" ht="30.75" customHeight="1" x14ac:dyDescent="0.3">
      <c r="B262" s="325" t="s">
        <v>1052</v>
      </c>
      <c r="C262" s="590" t="str">
        <f>IF('[2]Project Information'!$C$22="","",'[2]Project Information'!$C$22)</f>
        <v/>
      </c>
      <c r="D262" s="591"/>
      <c r="E262" s="591"/>
      <c r="F262" s="592"/>
      <c r="G262" s="316"/>
      <c r="H262" s="593"/>
    </row>
    <row r="263" spans="2:13" ht="5.25" customHeight="1" x14ac:dyDescent="0.3">
      <c r="B263" s="325"/>
      <c r="C263" s="592"/>
      <c r="D263" s="591"/>
      <c r="E263" s="591"/>
      <c r="F263" s="592"/>
      <c r="G263" s="316"/>
      <c r="H263" s="593"/>
    </row>
    <row r="264" spans="2:13" ht="30.75" customHeight="1" x14ac:dyDescent="0.3">
      <c r="B264" s="325" t="s">
        <v>1053</v>
      </c>
      <c r="C264" s="594" t="str">
        <f>IF('[2]Project Information'!$C$23="","",'[2]Project Information'!$C$23)</f>
        <v/>
      </c>
      <c r="D264" s="1725" t="s">
        <v>1054</v>
      </c>
      <c r="E264" s="1725"/>
      <c r="F264" s="595"/>
      <c r="G264" s="316" t="s">
        <v>1051</v>
      </c>
      <c r="H264" s="596"/>
    </row>
    <row r="265" spans="2:13" ht="30.75" customHeight="1" x14ac:dyDescent="0.3">
      <c r="B265" s="325" t="s">
        <v>1052</v>
      </c>
      <c r="C265" s="590" t="str">
        <f>IF('[2]Project Information'!$C$22="","",'[2]Project Information'!$C$22)</f>
        <v/>
      </c>
      <c r="D265" s="591"/>
      <c r="E265" s="591"/>
      <c r="F265" s="592"/>
      <c r="G265" s="316"/>
      <c r="H265" s="593"/>
    </row>
    <row r="266" spans="2:13" ht="5.25" customHeight="1" x14ac:dyDescent="0.3">
      <c r="B266" s="325"/>
      <c r="C266" s="592"/>
      <c r="D266" s="591"/>
      <c r="E266" s="591"/>
      <c r="F266" s="592"/>
      <c r="G266" s="316"/>
      <c r="H266" s="593"/>
    </row>
    <row r="267" spans="2:13" ht="30" customHeight="1" x14ac:dyDescent="0.3">
      <c r="B267" s="325" t="s">
        <v>1055</v>
      </c>
      <c r="C267" s="594" t="str">
        <f>IF('[2]Project Information'!$F$16="","",'[2]Project Information'!$F$16)</f>
        <v/>
      </c>
      <c r="D267" s="1725" t="s">
        <v>1056</v>
      </c>
      <c r="E267" s="1725"/>
      <c r="F267" s="595"/>
      <c r="G267" s="316" t="s">
        <v>1057</v>
      </c>
      <c r="H267" s="596"/>
    </row>
    <row r="268" spans="2:13" ht="30" customHeight="1" x14ac:dyDescent="0.3">
      <c r="B268" s="325" t="s">
        <v>1058</v>
      </c>
      <c r="C268" s="590" t="str">
        <f>IF('[2]Project Information'!$C$16:$D$16="","",'[2]Project Information'!$C$16:$D$16)</f>
        <v/>
      </c>
      <c r="D268" s="591"/>
      <c r="E268" s="591"/>
      <c r="F268" s="592"/>
      <c r="G268" s="316"/>
      <c r="H268" s="593"/>
    </row>
    <row r="269" spans="2:13" ht="5.25" customHeight="1" x14ac:dyDescent="0.3">
      <c r="B269" s="325"/>
      <c r="C269" s="592"/>
      <c r="D269" s="591"/>
      <c r="E269" s="591"/>
      <c r="F269" s="592"/>
      <c r="G269" s="316"/>
      <c r="H269" s="593"/>
    </row>
    <row r="270" spans="2:13" ht="30" customHeight="1" x14ac:dyDescent="0.3">
      <c r="B270" s="325" t="s">
        <v>1059</v>
      </c>
      <c r="C270" s="590" t="str">
        <f>IF('[2]Project Information'!$D$34="","",'[2]Project Information'!$D$34)</f>
        <v/>
      </c>
      <c r="D270" s="1725" t="s">
        <v>1060</v>
      </c>
      <c r="E270" s="1725"/>
      <c r="F270" s="595"/>
      <c r="G270" s="316" t="s">
        <v>1061</v>
      </c>
      <c r="H270" s="596"/>
    </row>
    <row r="271" spans="2:13" ht="5.25" customHeight="1" thickBot="1" x14ac:dyDescent="0.35">
      <c r="B271" s="359"/>
      <c r="C271" s="334"/>
      <c r="D271" s="455"/>
      <c r="E271" s="455"/>
      <c r="F271" s="334"/>
      <c r="G271" s="334"/>
      <c r="H271" s="329"/>
    </row>
  </sheetData>
  <sheetProtection sheet="1" objects="1" scenarios="1"/>
  <mergeCells count="7">
    <mergeCell ref="D270:E270"/>
    <mergeCell ref="E1:G1"/>
    <mergeCell ref="C7:M7"/>
    <mergeCell ref="D8:M8"/>
    <mergeCell ref="D261:E261"/>
    <mergeCell ref="D264:E264"/>
    <mergeCell ref="D267:E267"/>
  </mergeCells>
  <conditionalFormatting sqref="A1:E1 H1:XFD1 A2:XFD90 A93:XFD97 A91:B92 A100:XFD1048576 A98:B99 D91:XFD92 D98:XFD99">
    <cfRule type="cellIs" dxfId="1507" priority="9" operator="equal">
      <formula>"PASS"</formula>
    </cfRule>
    <cfRule type="cellIs" dxfId="1506" priority="10" operator="equal">
      <formula>"FAIL"</formula>
    </cfRule>
  </conditionalFormatting>
  <conditionalFormatting sqref="C91">
    <cfRule type="cellIs" dxfId="1505" priority="7" operator="equal">
      <formula>"PASS"</formula>
    </cfRule>
    <cfRule type="cellIs" dxfId="1504" priority="8" operator="equal">
      <formula>"FAIL"</formula>
    </cfRule>
  </conditionalFormatting>
  <conditionalFormatting sqref="C92">
    <cfRule type="cellIs" dxfId="1503" priority="5" operator="equal">
      <formula>"PASS"</formula>
    </cfRule>
    <cfRule type="cellIs" dxfId="1502" priority="6" operator="equal">
      <formula>"FAIL"</formula>
    </cfRule>
  </conditionalFormatting>
  <conditionalFormatting sqref="C98">
    <cfRule type="cellIs" dxfId="1501" priority="3" operator="equal">
      <formula>"PASS"</formula>
    </cfRule>
    <cfRule type="cellIs" dxfId="1500" priority="4" operator="equal">
      <formula>"FAIL"</formula>
    </cfRule>
  </conditionalFormatting>
  <conditionalFormatting sqref="C99">
    <cfRule type="cellIs" dxfId="1499" priority="1" operator="equal">
      <formula>"PASS"</formula>
    </cfRule>
    <cfRule type="cellIs" dxfId="1498" priority="2" operator="equal">
      <formula>"FAIL"</formula>
    </cfRule>
  </conditionalFormatting>
  <dataValidations count="2">
    <dataValidation allowBlank="1" showInputMessage="1" showErrorMessage="1" promptTitle="Footnote 3" prompt="sasdddsdds" sqref="E9" xr:uid="{2DF4854F-8B5D-044C-826F-6012CA60CA76}"/>
    <dataValidation allowBlank="1" showInputMessage="1" showErrorMessage="1" prompt="Submit photo of model number and evidence on ES Product Search" sqref="C252 C254" xr:uid="{6770288B-D115-4E4C-BD3C-8E3216B3D6E4}"/>
  </dataValidations>
  <pageMargins left="0.7" right="0.7" top="0.75" bottom="0.75" header="0.3" footer="0.3"/>
  <pageSetup scale="43" fitToHeight="0" orientation="portrait" r:id="rId1"/>
  <drawing r:id="rId2"/>
  <legacyDrawing r:id="rId3"/>
  <tableParts count="1">
    <tablePart r:id="rId4"/>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6EBA-41FB-2748-B8FD-9BC8EF66F160}">
  <sheetPr codeName="Sheet3">
    <tabColor theme="7" tint="0.79998168889431442"/>
    <pageSetUpPr fitToPage="1"/>
  </sheetPr>
  <dimension ref="A1:BY101"/>
  <sheetViews>
    <sheetView topLeftCell="A23" zoomScaleNormal="100" workbookViewId="0">
      <selection activeCell="B2" sqref="B2"/>
    </sheetView>
  </sheetViews>
  <sheetFormatPr defaultColWidth="8.8984375" defaultRowHeight="13.2" x14ac:dyDescent="0.25"/>
  <cols>
    <col min="1" max="1" width="6.59765625" style="597" customWidth="1"/>
    <col min="2" max="2" width="12.59765625" style="597" customWidth="1"/>
    <col min="3" max="6" width="14.09765625" style="597" customWidth="1"/>
    <col min="7" max="7" width="21.59765625" style="597" customWidth="1"/>
    <col min="8" max="8" width="17.5" style="597" customWidth="1"/>
    <col min="9" max="9" width="14.09765625" style="597" customWidth="1"/>
    <col min="10" max="10" width="18.5" style="597" customWidth="1"/>
    <col min="11" max="11" width="18.59765625" style="597" customWidth="1"/>
    <col min="12" max="12" width="23.59765625" style="597" customWidth="1"/>
    <col min="13" max="13" width="20.8984375" style="598" customWidth="1"/>
    <col min="14" max="14" width="20" style="598" customWidth="1"/>
    <col min="15" max="17" width="24.8984375" style="598" customWidth="1"/>
    <col min="18" max="18" width="14.5" style="598" customWidth="1"/>
    <col min="19" max="36" width="11" style="597" customWidth="1"/>
    <col min="37" max="37" width="18.59765625" style="597" bestFit="1" customWidth="1"/>
    <col min="38" max="38" width="16.09765625" style="597" customWidth="1"/>
    <col min="39" max="48" width="11" style="597" customWidth="1"/>
    <col min="49" max="50" width="9.8984375" style="597" customWidth="1"/>
    <col min="51" max="51" width="12.8984375" style="597" bestFit="1" customWidth="1"/>
    <col min="52" max="55" width="11.59765625" style="597" customWidth="1"/>
    <col min="56" max="56" width="2.59765625" style="597" customWidth="1"/>
    <col min="57" max="16384" width="8.8984375" style="597"/>
  </cols>
  <sheetData>
    <row r="1" spans="1:68" ht="13.8" thickBot="1" x14ac:dyDescent="0.3"/>
    <row r="2" spans="1:68" ht="88.5" customHeight="1" thickBot="1" x14ac:dyDescent="0.3">
      <c r="B2" s="599" t="s">
        <v>1062</v>
      </c>
      <c r="C2" s="1786" t="s">
        <v>1063</v>
      </c>
      <c r="D2" s="1786"/>
      <c r="E2" s="1786"/>
      <c r="F2" s="1786"/>
      <c r="G2" s="1786"/>
      <c r="H2" s="1786"/>
      <c r="I2" s="1786"/>
      <c r="J2" s="1786"/>
      <c r="K2" s="1786"/>
      <c r="L2" s="1786"/>
      <c r="M2" s="1786"/>
      <c r="N2" s="1786"/>
      <c r="O2" s="1786"/>
      <c r="P2" s="1786"/>
      <c r="Q2" s="1786"/>
      <c r="R2" s="1787"/>
      <c r="T2" s="600"/>
    </row>
    <row r="3" spans="1:68" ht="13.8" thickBot="1" x14ac:dyDescent="0.3">
      <c r="B3" s="601"/>
      <c r="C3" s="601"/>
      <c r="D3" s="601"/>
      <c r="T3" s="601"/>
      <c r="BE3" s="602"/>
      <c r="BF3" s="602"/>
      <c r="BG3" s="602"/>
      <c r="BH3" s="602"/>
      <c r="BI3" s="602"/>
      <c r="BJ3" s="602"/>
      <c r="BK3" s="602"/>
      <c r="BL3" s="602"/>
      <c r="BM3" s="602"/>
      <c r="BN3" s="602"/>
      <c r="BO3" s="602"/>
      <c r="BP3" s="602"/>
    </row>
    <row r="4" spans="1:68" s="343" customFormat="1" ht="16.5" customHeight="1" thickBot="1" x14ac:dyDescent="0.3">
      <c r="B4" s="1788" t="s">
        <v>1064</v>
      </c>
      <c r="C4" s="1789"/>
      <c r="D4" s="1789"/>
      <c r="E4" s="1789"/>
      <c r="F4" s="1789"/>
      <c r="G4" s="1789"/>
      <c r="H4" s="1789"/>
      <c r="I4" s="1789"/>
      <c r="J4" s="1789"/>
      <c r="K4" s="1789"/>
      <c r="L4" s="1789"/>
      <c r="M4" s="1789"/>
      <c r="N4" s="1789"/>
      <c r="O4" s="1789"/>
      <c r="P4" s="1789"/>
      <c r="Q4" s="1789"/>
      <c r="R4" s="1790"/>
      <c r="T4" s="1788" t="s">
        <v>1065</v>
      </c>
      <c r="U4" s="1789"/>
      <c r="V4" s="1789"/>
      <c r="W4" s="1789"/>
      <c r="X4" s="1789"/>
      <c r="Y4" s="1789"/>
      <c r="Z4" s="1789"/>
      <c r="AA4" s="1789"/>
      <c r="AB4" s="1789"/>
      <c r="AC4" s="1789"/>
      <c r="AD4" s="1789"/>
      <c r="AE4" s="1789"/>
      <c r="AF4" s="1789"/>
      <c r="AG4" s="1789"/>
      <c r="AH4" s="1789"/>
      <c r="AI4" s="1789"/>
      <c r="AJ4" s="1789"/>
      <c r="AK4" s="1789"/>
      <c r="AL4" s="1789"/>
      <c r="AM4" s="1789"/>
      <c r="AN4" s="1789"/>
      <c r="AO4" s="1789"/>
      <c r="AP4" s="1789"/>
      <c r="AQ4" s="1789"/>
      <c r="AR4" s="1789"/>
      <c r="AS4" s="1789"/>
      <c r="AT4" s="1789"/>
      <c r="AU4" s="1789"/>
      <c r="AV4" s="1789"/>
      <c r="AW4" s="1789"/>
      <c r="AX4" s="1789"/>
      <c r="AY4" s="1789"/>
      <c r="AZ4" s="1789"/>
      <c r="BA4" s="1789"/>
      <c r="BB4" s="1789"/>
      <c r="BC4" s="1790"/>
      <c r="BE4" s="603"/>
      <c r="BF4" s="603"/>
      <c r="BG4" s="603"/>
      <c r="BH4" s="603"/>
      <c r="BI4" s="603"/>
      <c r="BJ4" s="603"/>
      <c r="BK4" s="604"/>
      <c r="BL4" s="604"/>
      <c r="BM4" s="604"/>
      <c r="BN4" s="604"/>
      <c r="BO4" s="604"/>
      <c r="BP4" s="604"/>
    </row>
    <row r="5" spans="1:68" s="343" customFormat="1" ht="38.25" customHeight="1" thickBot="1" x14ac:dyDescent="0.35">
      <c r="A5"/>
      <c r="B5" s="605" t="s">
        <v>1066</v>
      </c>
      <c r="C5" s="606" t="s">
        <v>1067</v>
      </c>
      <c r="D5" s="606" t="s">
        <v>1068</v>
      </c>
      <c r="E5" s="606" t="s">
        <v>1069</v>
      </c>
      <c r="F5" s="606" t="s">
        <v>1070</v>
      </c>
      <c r="G5" s="606" t="s">
        <v>1071</v>
      </c>
      <c r="H5" s="605" t="s">
        <v>1072</v>
      </c>
      <c r="I5" s="605" t="s">
        <v>1073</v>
      </c>
      <c r="J5" s="606" t="s">
        <v>1074</v>
      </c>
      <c r="K5" s="605" t="s">
        <v>1075</v>
      </c>
      <c r="L5" s="606" t="s">
        <v>1076</v>
      </c>
      <c r="M5" s="605" t="s">
        <v>1077</v>
      </c>
      <c r="N5" s="607" t="s">
        <v>1078</v>
      </c>
      <c r="O5" s="608" t="s">
        <v>1079</v>
      </c>
      <c r="P5" s="606" t="s">
        <v>1080</v>
      </c>
      <c r="Q5" s="606" t="s">
        <v>1081</v>
      </c>
      <c r="R5" s="609" t="s">
        <v>1082</v>
      </c>
      <c r="S5" s="349"/>
      <c r="T5" s="610" t="s">
        <v>1083</v>
      </c>
      <c r="U5" s="1759" t="s">
        <v>1084</v>
      </c>
      <c r="V5" s="1760"/>
      <c r="W5" s="1759" t="s">
        <v>1085</v>
      </c>
      <c r="X5" s="1760"/>
      <c r="Y5" s="1759" t="s">
        <v>1086</v>
      </c>
      <c r="Z5" s="1760"/>
      <c r="AA5" s="1759" t="s">
        <v>1087</v>
      </c>
      <c r="AB5" s="1760"/>
      <c r="AC5" s="1759" t="s">
        <v>1088</v>
      </c>
      <c r="AD5" s="1760"/>
      <c r="AE5" s="1759" t="s">
        <v>1089</v>
      </c>
      <c r="AF5" s="1760"/>
      <c r="AG5" s="1759" t="s">
        <v>1090</v>
      </c>
      <c r="AH5" s="1760"/>
      <c r="AI5" s="1759" t="s">
        <v>1091</v>
      </c>
      <c r="AJ5" s="1760"/>
      <c r="AK5" s="611" t="s">
        <v>1092</v>
      </c>
      <c r="AL5" s="612" t="s">
        <v>1093</v>
      </c>
      <c r="AM5" s="1759" t="s">
        <v>1094</v>
      </c>
      <c r="AN5" s="1760"/>
      <c r="AO5" s="1759" t="s">
        <v>1095</v>
      </c>
      <c r="AP5" s="1760"/>
      <c r="AQ5" s="1759" t="s">
        <v>1096</v>
      </c>
      <c r="AR5" s="1760"/>
      <c r="AS5" s="1759" t="s">
        <v>1097</v>
      </c>
      <c r="AT5" s="1760"/>
      <c r="AU5" s="1759" t="s">
        <v>1098</v>
      </c>
      <c r="AV5" s="1760"/>
      <c r="AW5" s="1759" t="s">
        <v>1099</v>
      </c>
      <c r="AX5" s="1760"/>
      <c r="AY5" s="611" t="s">
        <v>1100</v>
      </c>
      <c r="AZ5" s="611" t="s">
        <v>1101</v>
      </c>
      <c r="BA5" s="611" t="s">
        <v>1102</v>
      </c>
      <c r="BB5" s="611" t="s">
        <v>1103</v>
      </c>
      <c r="BC5" s="613" t="s">
        <v>1104</v>
      </c>
      <c r="BE5" s="603"/>
      <c r="BF5" s="603"/>
      <c r="BG5" s="603"/>
      <c r="BH5" s="603"/>
      <c r="BI5" s="603"/>
      <c r="BJ5" s="603"/>
      <c r="BK5" s="604"/>
      <c r="BL5" s="604"/>
      <c r="BM5" s="604"/>
      <c r="BN5" s="604"/>
      <c r="BO5" s="604"/>
      <c r="BP5" s="604"/>
    </row>
    <row r="6" spans="1:68" s="614" customFormat="1" ht="15.75" hidden="1" customHeight="1" thickBot="1" x14ac:dyDescent="0.35">
      <c r="B6" s="615" t="s">
        <v>554</v>
      </c>
      <c r="C6" s="616" t="s">
        <v>1105</v>
      </c>
      <c r="D6" s="616" t="s">
        <v>1106</v>
      </c>
      <c r="E6" s="617" t="s">
        <v>1107</v>
      </c>
      <c r="F6" s="617" t="s">
        <v>1108</v>
      </c>
      <c r="G6" s="617" t="s">
        <v>1109</v>
      </c>
      <c r="H6" s="618" t="s">
        <v>1110</v>
      </c>
      <c r="I6" s="619" t="s">
        <v>1111</v>
      </c>
      <c r="J6" s="620" t="s">
        <v>1112</v>
      </c>
      <c r="K6" s="621" t="s">
        <v>1113</v>
      </c>
      <c r="L6" s="622" t="s">
        <v>1114</v>
      </c>
      <c r="M6" s="623" t="s">
        <v>1115</v>
      </c>
      <c r="N6" s="624" t="s">
        <v>1116</v>
      </c>
      <c r="O6" s="625" t="s">
        <v>1117</v>
      </c>
      <c r="P6" s="626" t="s">
        <v>1118</v>
      </c>
      <c r="Q6" s="627" t="s">
        <v>1119</v>
      </c>
      <c r="R6" s="628" t="s">
        <v>1120</v>
      </c>
      <c r="S6" s="600" t="s">
        <v>1121</v>
      </c>
      <c r="T6" s="629" t="s">
        <v>1122</v>
      </c>
      <c r="U6" s="630" t="s">
        <v>1123</v>
      </c>
      <c r="V6" s="631" t="s">
        <v>1124</v>
      </c>
      <c r="W6" s="630" t="s">
        <v>1125</v>
      </c>
      <c r="X6" s="631" t="s">
        <v>1126</v>
      </c>
      <c r="Y6" s="630" t="s">
        <v>1127</v>
      </c>
      <c r="Z6" s="631" t="s">
        <v>1128</v>
      </c>
      <c r="AA6" s="630" t="s">
        <v>1129</v>
      </c>
      <c r="AB6" s="631" t="s">
        <v>1130</v>
      </c>
      <c r="AC6" s="630" t="s">
        <v>1131</v>
      </c>
      <c r="AD6" s="631" t="s">
        <v>1132</v>
      </c>
      <c r="AE6" s="630" t="s">
        <v>1133</v>
      </c>
      <c r="AF6" s="631" t="s">
        <v>1134</v>
      </c>
      <c r="AG6" s="630" t="s">
        <v>1135</v>
      </c>
      <c r="AH6" s="631" t="s">
        <v>1136</v>
      </c>
      <c r="AI6" s="630" t="s">
        <v>1137</v>
      </c>
      <c r="AJ6" s="631" t="s">
        <v>1138</v>
      </c>
      <c r="AK6" s="632" t="s">
        <v>1139</v>
      </c>
      <c r="AL6" s="632" t="s">
        <v>1140</v>
      </c>
      <c r="AM6" s="630" t="s">
        <v>1141</v>
      </c>
      <c r="AN6" s="631" t="s">
        <v>1142</v>
      </c>
      <c r="AO6" s="630" t="s">
        <v>1143</v>
      </c>
      <c r="AP6" s="631" t="s">
        <v>1144</v>
      </c>
      <c r="AQ6" s="630" t="s">
        <v>1145</v>
      </c>
      <c r="AR6" s="631" t="s">
        <v>1146</v>
      </c>
      <c r="AS6" s="630" t="s">
        <v>1147</v>
      </c>
      <c r="AT6" s="631" t="s">
        <v>1148</v>
      </c>
      <c r="AU6" s="630" t="s">
        <v>1149</v>
      </c>
      <c r="AV6" s="631" t="s">
        <v>1150</v>
      </c>
      <c r="AW6" s="630" t="s">
        <v>1151</v>
      </c>
      <c r="AX6" s="633" t="s">
        <v>1152</v>
      </c>
      <c r="AY6" s="634" t="s">
        <v>1153</v>
      </c>
      <c r="AZ6" s="635" t="s">
        <v>1154</v>
      </c>
      <c r="BA6" s="635" t="s">
        <v>1155</v>
      </c>
      <c r="BB6" s="635" t="s">
        <v>1156</v>
      </c>
      <c r="BC6" s="636" t="s">
        <v>1157</v>
      </c>
      <c r="BE6" s="637"/>
      <c r="BF6" s="638"/>
      <c r="BG6" s="638"/>
      <c r="BH6" s="638"/>
      <c r="BI6" s="638"/>
      <c r="BJ6" s="639"/>
      <c r="BK6" s="640"/>
      <c r="BL6" s="640"/>
      <c r="BM6" s="640"/>
      <c r="BN6" s="640"/>
      <c r="BO6" s="640"/>
      <c r="BP6" s="640"/>
    </row>
    <row r="7" spans="1:68" s="614" customFormat="1" ht="15.75" customHeight="1" x14ac:dyDescent="0.3">
      <c r="B7" s="641"/>
      <c r="C7" s="642"/>
      <c r="D7" s="642"/>
      <c r="E7" s="643"/>
      <c r="F7" s="643"/>
      <c r="G7" s="643"/>
      <c r="H7" s="618" t="str">
        <f t="shared" ref="H7:H13" si="0">IF($B7="","",2*$E7+$F7*$G7)</f>
        <v/>
      </c>
      <c r="I7" s="644"/>
      <c r="J7" s="645"/>
      <c r="K7" s="621" t="str">
        <f t="shared" ref="K7:K13" si="1">IF($B7="","",0.01*$E7+7.5*($C7+1))</f>
        <v/>
      </c>
      <c r="L7" s="622" t="str">
        <f t="shared" ref="L7:L13" si="2">IF($B7="","",
IF(AND(($K7&gt;=100),(($K7*1.15)&lt;$J7)),"FAIL",
IF(AND(($K7&lt;100),(($K7+15)&lt;$J7)),"FAIL",
IF($J7&gt;=$K7,"PASS",
IF(J7&lt;K7,"FAIL",
"")))))</f>
        <v/>
      </c>
      <c r="M7" s="646"/>
      <c r="N7" s="624" t="str">
        <f>IF(M7="Intermittent","N/A","")</f>
        <v/>
      </c>
      <c r="O7" s="647"/>
      <c r="P7" s="648"/>
      <c r="Q7" s="649"/>
      <c r="R7" s="650"/>
      <c r="S7" s="600"/>
      <c r="T7" s="629"/>
      <c r="U7" s="630"/>
      <c r="V7" s="631"/>
      <c r="W7" s="630"/>
      <c r="X7" s="631"/>
      <c r="Y7" s="630"/>
      <c r="Z7" s="631"/>
      <c r="AA7" s="630"/>
      <c r="AB7" s="631"/>
      <c r="AC7" s="630"/>
      <c r="AD7" s="631"/>
      <c r="AE7" s="630"/>
      <c r="AF7" s="631"/>
      <c r="AG7" s="630"/>
      <c r="AH7" s="631"/>
      <c r="AI7" s="630"/>
      <c r="AJ7" s="631"/>
      <c r="AK7" s="632"/>
      <c r="AL7" s="632"/>
      <c r="AM7" s="630"/>
      <c r="AN7" s="631"/>
      <c r="AO7" s="630"/>
      <c r="AP7" s="631"/>
      <c r="AQ7" s="630"/>
      <c r="AR7" s="631"/>
      <c r="AS7" s="630"/>
      <c r="AT7" s="631"/>
      <c r="AU7" s="630"/>
      <c r="AV7" s="631"/>
      <c r="AW7" s="630"/>
      <c r="AX7" s="633"/>
      <c r="AY7" s="634"/>
      <c r="AZ7" s="635"/>
      <c r="BA7" s="635"/>
      <c r="BB7" s="635"/>
      <c r="BC7" s="636"/>
      <c r="BE7" s="1772" t="s">
        <v>1158</v>
      </c>
      <c r="BF7" s="1773"/>
      <c r="BG7" s="1773"/>
      <c r="BH7" s="1773"/>
      <c r="BI7" s="1773"/>
      <c r="BJ7" s="1774"/>
      <c r="BK7" s="640"/>
      <c r="BL7" s="640"/>
      <c r="BM7" s="640"/>
      <c r="BN7" s="640"/>
      <c r="BO7" s="640"/>
      <c r="BP7" s="640"/>
    </row>
    <row r="8" spans="1:68" s="614" customFormat="1" ht="13.8" thickBot="1" x14ac:dyDescent="0.35">
      <c r="B8" s="651"/>
      <c r="C8" s="652"/>
      <c r="D8" s="652"/>
      <c r="E8" s="653"/>
      <c r="F8" s="653"/>
      <c r="G8" s="653"/>
      <c r="H8" s="654" t="str">
        <f t="shared" si="0"/>
        <v/>
      </c>
      <c r="I8" s="655"/>
      <c r="J8" s="656"/>
      <c r="K8" s="657" t="str">
        <f t="shared" si="1"/>
        <v/>
      </c>
      <c r="L8" s="622" t="str">
        <f t="shared" si="2"/>
        <v/>
      </c>
      <c r="M8" s="658"/>
      <c r="N8" s="659" t="str">
        <f>IF(M8="Intermittent","N/A","")</f>
        <v/>
      </c>
      <c r="O8" s="660"/>
      <c r="P8" s="661"/>
      <c r="Q8" s="662"/>
      <c r="R8" s="663"/>
      <c r="T8" s="664"/>
      <c r="U8" s="665"/>
      <c r="V8" s="666"/>
      <c r="W8" s="665"/>
      <c r="X8" s="666"/>
      <c r="Y8" s="665"/>
      <c r="Z8" s="666"/>
      <c r="AA8" s="665"/>
      <c r="AB8" s="666"/>
      <c r="AC8" s="665"/>
      <c r="AD8" s="666"/>
      <c r="AE8" s="665"/>
      <c r="AF8" s="666"/>
      <c r="AG8" s="665"/>
      <c r="AH8" s="666"/>
      <c r="AI8" s="665"/>
      <c r="AJ8" s="666"/>
      <c r="AK8" s="667"/>
      <c r="AL8" s="667"/>
      <c r="AM8" s="665"/>
      <c r="AN8" s="666"/>
      <c r="AO8" s="665"/>
      <c r="AP8" s="666"/>
      <c r="AQ8" s="665"/>
      <c r="AR8" s="666"/>
      <c r="AS8" s="665"/>
      <c r="AT8" s="666"/>
      <c r="AU8" s="665"/>
      <c r="AV8" s="666"/>
      <c r="AW8" s="665"/>
      <c r="AX8" s="668"/>
      <c r="AY8" s="664"/>
      <c r="AZ8" s="667"/>
      <c r="BA8" s="667"/>
      <c r="BB8" s="667"/>
      <c r="BC8" s="665"/>
      <c r="BE8" s="1775"/>
      <c r="BF8" s="1776"/>
      <c r="BG8" s="1776"/>
      <c r="BH8" s="1776"/>
      <c r="BI8" s="1776"/>
      <c r="BJ8" s="1777"/>
      <c r="BK8" s="640"/>
      <c r="BL8" s="640"/>
      <c r="BM8" s="640"/>
      <c r="BN8" s="640"/>
      <c r="BO8" s="640"/>
      <c r="BP8" s="640"/>
    </row>
    <row r="9" spans="1:68" s="614" customFormat="1" x14ac:dyDescent="0.3">
      <c r="B9" s="651"/>
      <c r="C9" s="652"/>
      <c r="D9" s="652"/>
      <c r="E9" s="653"/>
      <c r="F9" s="653"/>
      <c r="G9" s="653"/>
      <c r="H9" s="654" t="str">
        <f t="shared" si="0"/>
        <v/>
      </c>
      <c r="I9" s="655"/>
      <c r="J9" s="656"/>
      <c r="K9" s="657" t="str">
        <f t="shared" si="1"/>
        <v/>
      </c>
      <c r="L9" s="622" t="str">
        <f t="shared" si="2"/>
        <v/>
      </c>
      <c r="M9" s="658"/>
      <c r="N9" s="659" t="str">
        <f t="shared" ref="N9:N13" si="3">IF(M9="Intermittent","N/A","")</f>
        <v/>
      </c>
      <c r="O9" s="660"/>
      <c r="P9" s="661"/>
      <c r="Q9" s="662"/>
      <c r="R9" s="663"/>
      <c r="T9" s="664"/>
      <c r="U9" s="665"/>
      <c r="V9" s="666"/>
      <c r="W9" s="665"/>
      <c r="X9" s="666"/>
      <c r="Y9" s="665"/>
      <c r="Z9" s="666"/>
      <c r="AA9" s="665"/>
      <c r="AB9" s="666"/>
      <c r="AC9" s="665"/>
      <c r="AD9" s="666"/>
      <c r="AE9" s="665"/>
      <c r="AF9" s="666"/>
      <c r="AG9" s="665"/>
      <c r="AH9" s="666"/>
      <c r="AI9" s="665"/>
      <c r="AJ9" s="666"/>
      <c r="AK9" s="667"/>
      <c r="AL9" s="667"/>
      <c r="AM9" s="665"/>
      <c r="AN9" s="666"/>
      <c r="AO9" s="665"/>
      <c r="AP9" s="666"/>
      <c r="AQ9" s="665"/>
      <c r="AR9" s="666"/>
      <c r="AS9" s="665"/>
      <c r="AT9" s="666"/>
      <c r="AU9" s="665"/>
      <c r="AV9" s="666"/>
      <c r="AW9" s="665"/>
      <c r="AX9" s="668"/>
      <c r="AY9" s="664"/>
      <c r="AZ9" s="667"/>
      <c r="BA9" s="667"/>
      <c r="BB9" s="667"/>
      <c r="BC9" s="665"/>
      <c r="BE9" s="637"/>
      <c r="BF9" s="638"/>
      <c r="BG9" s="638"/>
      <c r="BH9" s="638"/>
      <c r="BI9" s="638"/>
      <c r="BJ9" s="639"/>
      <c r="BK9" s="640"/>
      <c r="BL9" s="640"/>
      <c r="BM9" s="640"/>
      <c r="BN9" s="640"/>
      <c r="BO9" s="640"/>
      <c r="BP9" s="640"/>
    </row>
    <row r="10" spans="1:68" s="614" customFormat="1" x14ac:dyDescent="0.3">
      <c r="B10" s="651"/>
      <c r="C10" s="652"/>
      <c r="D10" s="652"/>
      <c r="E10" s="653"/>
      <c r="F10" s="653"/>
      <c r="G10" s="653"/>
      <c r="H10" s="654" t="str">
        <f t="shared" si="0"/>
        <v/>
      </c>
      <c r="I10" s="655"/>
      <c r="J10" s="656"/>
      <c r="K10" s="657" t="str">
        <f t="shared" si="1"/>
        <v/>
      </c>
      <c r="L10" s="622" t="str">
        <f t="shared" si="2"/>
        <v/>
      </c>
      <c r="M10" s="658"/>
      <c r="N10" s="659" t="str">
        <f t="shared" si="3"/>
        <v/>
      </c>
      <c r="O10" s="660"/>
      <c r="P10" s="661"/>
      <c r="Q10" s="662"/>
      <c r="R10" s="663"/>
      <c r="T10" s="664"/>
      <c r="U10" s="665"/>
      <c r="V10" s="666"/>
      <c r="W10" s="665"/>
      <c r="X10" s="666"/>
      <c r="Y10" s="665"/>
      <c r="Z10" s="666"/>
      <c r="AA10" s="665"/>
      <c r="AB10" s="666"/>
      <c r="AC10" s="665"/>
      <c r="AD10" s="666"/>
      <c r="AE10" s="665"/>
      <c r="AF10" s="666"/>
      <c r="AG10" s="665"/>
      <c r="AH10" s="666"/>
      <c r="AI10" s="665"/>
      <c r="AJ10" s="666"/>
      <c r="AK10" s="667"/>
      <c r="AL10" s="667"/>
      <c r="AM10" s="665"/>
      <c r="AN10" s="666"/>
      <c r="AO10" s="665"/>
      <c r="AP10" s="666"/>
      <c r="AQ10" s="665"/>
      <c r="AR10" s="666"/>
      <c r="AS10" s="665"/>
      <c r="AT10" s="666"/>
      <c r="AU10" s="665"/>
      <c r="AV10" s="666"/>
      <c r="AW10" s="665"/>
      <c r="AX10" s="668"/>
      <c r="AY10" s="664"/>
      <c r="AZ10" s="667"/>
      <c r="BA10" s="667"/>
      <c r="BB10" s="667"/>
      <c r="BC10" s="665"/>
      <c r="BE10" s="637"/>
      <c r="BF10" s="638"/>
      <c r="BG10" s="638"/>
      <c r="BH10" s="638"/>
      <c r="BI10" s="638"/>
      <c r="BJ10" s="639"/>
      <c r="BK10" s="640"/>
      <c r="BL10" s="640"/>
      <c r="BM10" s="640"/>
      <c r="BN10" s="640"/>
      <c r="BO10" s="640"/>
      <c r="BP10" s="640"/>
    </row>
    <row r="11" spans="1:68" s="614" customFormat="1" x14ac:dyDescent="0.3">
      <c r="B11" s="651"/>
      <c r="C11" s="652"/>
      <c r="D11" s="652"/>
      <c r="E11" s="653"/>
      <c r="F11" s="653"/>
      <c r="G11" s="653"/>
      <c r="H11" s="654" t="str">
        <f t="shared" si="0"/>
        <v/>
      </c>
      <c r="I11" s="655"/>
      <c r="J11" s="656"/>
      <c r="K11" s="657" t="str">
        <f t="shared" si="1"/>
        <v/>
      </c>
      <c r="L11" s="622" t="str">
        <f t="shared" si="2"/>
        <v/>
      </c>
      <c r="M11" s="658"/>
      <c r="N11" s="659" t="str">
        <f t="shared" si="3"/>
        <v/>
      </c>
      <c r="O11" s="660"/>
      <c r="P11" s="661"/>
      <c r="Q11" s="662"/>
      <c r="R11" s="663"/>
      <c r="T11" s="664"/>
      <c r="U11" s="665"/>
      <c r="V11" s="666"/>
      <c r="W11" s="665"/>
      <c r="X11" s="666"/>
      <c r="Y11" s="665"/>
      <c r="Z11" s="666"/>
      <c r="AA11" s="665"/>
      <c r="AB11" s="666"/>
      <c r="AC11" s="665"/>
      <c r="AD11" s="666"/>
      <c r="AE11" s="665"/>
      <c r="AF11" s="666"/>
      <c r="AG11" s="665"/>
      <c r="AH11" s="666"/>
      <c r="AI11" s="665"/>
      <c r="AJ11" s="666"/>
      <c r="AK11" s="667"/>
      <c r="AL11" s="667"/>
      <c r="AM11" s="665"/>
      <c r="AN11" s="666"/>
      <c r="AO11" s="665"/>
      <c r="AP11" s="666"/>
      <c r="AQ11" s="665"/>
      <c r="AR11" s="666"/>
      <c r="AS11" s="665"/>
      <c r="AT11" s="666"/>
      <c r="AU11" s="665"/>
      <c r="AV11" s="666"/>
      <c r="AW11" s="665"/>
      <c r="AX11" s="668"/>
      <c r="AY11" s="664"/>
      <c r="AZ11" s="667"/>
      <c r="BA11" s="667"/>
      <c r="BB11" s="667"/>
      <c r="BC11" s="665"/>
      <c r="BE11" s="637"/>
      <c r="BF11" s="638"/>
      <c r="BG11" s="638"/>
      <c r="BH11" s="638"/>
      <c r="BI11" s="638"/>
      <c r="BJ11" s="639"/>
      <c r="BK11" s="640"/>
      <c r="BL11" s="640"/>
      <c r="BM11" s="640"/>
      <c r="BN11" s="640"/>
      <c r="BO11" s="640"/>
      <c r="BP11" s="640"/>
    </row>
    <row r="12" spans="1:68" s="614" customFormat="1" ht="16.5" customHeight="1" thickBot="1" x14ac:dyDescent="0.35">
      <c r="B12" s="651"/>
      <c r="C12" s="652"/>
      <c r="D12" s="652"/>
      <c r="E12" s="653"/>
      <c r="F12" s="653"/>
      <c r="G12" s="653"/>
      <c r="H12" s="654" t="str">
        <f t="shared" si="0"/>
        <v/>
      </c>
      <c r="I12" s="655"/>
      <c r="J12" s="656"/>
      <c r="K12" s="657" t="str">
        <f t="shared" si="1"/>
        <v/>
      </c>
      <c r="L12" s="622" t="str">
        <f t="shared" si="2"/>
        <v/>
      </c>
      <c r="M12" s="658"/>
      <c r="N12" s="659" t="str">
        <f t="shared" si="3"/>
        <v/>
      </c>
      <c r="O12" s="660"/>
      <c r="P12" s="661"/>
      <c r="Q12" s="662"/>
      <c r="R12" s="663"/>
      <c r="T12" s="664"/>
      <c r="U12" s="665"/>
      <c r="V12" s="666"/>
      <c r="W12" s="665"/>
      <c r="X12" s="666"/>
      <c r="Y12" s="665"/>
      <c r="Z12" s="666"/>
      <c r="AA12" s="665"/>
      <c r="AB12" s="666"/>
      <c r="AC12" s="665"/>
      <c r="AD12" s="666"/>
      <c r="AE12" s="665"/>
      <c r="AF12" s="666"/>
      <c r="AG12" s="665"/>
      <c r="AH12" s="666"/>
      <c r="AI12" s="665"/>
      <c r="AJ12" s="666"/>
      <c r="AK12" s="667"/>
      <c r="AL12" s="667"/>
      <c r="AM12" s="665"/>
      <c r="AN12" s="666"/>
      <c r="AO12" s="665"/>
      <c r="AP12" s="666"/>
      <c r="AQ12" s="665"/>
      <c r="AR12" s="666"/>
      <c r="AS12" s="665"/>
      <c r="AT12" s="666"/>
      <c r="AU12" s="665"/>
      <c r="AV12" s="666"/>
      <c r="AW12" s="665"/>
      <c r="AX12" s="668"/>
      <c r="AY12" s="664"/>
      <c r="AZ12" s="667"/>
      <c r="BA12" s="667"/>
      <c r="BB12" s="667"/>
      <c r="BC12" s="665"/>
      <c r="BE12" s="669"/>
      <c r="BF12" s="670"/>
      <c r="BG12" s="670"/>
      <c r="BH12" s="670"/>
      <c r="BI12" s="670"/>
      <c r="BJ12" s="671"/>
      <c r="BK12" s="640"/>
      <c r="BL12" s="640"/>
      <c r="BM12" s="640"/>
      <c r="BN12" s="640"/>
      <c r="BO12" s="640"/>
      <c r="BP12" s="640"/>
    </row>
    <row r="13" spans="1:68" s="343" customFormat="1" ht="13.8" thickBot="1" x14ac:dyDescent="0.3">
      <c r="B13" s="672"/>
      <c r="C13" s="673"/>
      <c r="D13" s="673"/>
      <c r="E13" s="674"/>
      <c r="F13" s="674"/>
      <c r="G13" s="674"/>
      <c r="H13" s="675" t="str">
        <f t="shared" si="0"/>
        <v/>
      </c>
      <c r="I13" s="676"/>
      <c r="J13" s="677"/>
      <c r="K13" s="678" t="str">
        <f t="shared" si="1"/>
        <v/>
      </c>
      <c r="L13" s="679" t="str">
        <f t="shared" si="2"/>
        <v/>
      </c>
      <c r="M13" s="680"/>
      <c r="N13" s="681" t="str">
        <f t="shared" si="3"/>
        <v/>
      </c>
      <c r="O13" s="682"/>
      <c r="P13" s="683"/>
      <c r="Q13" s="684"/>
      <c r="R13" s="685"/>
      <c r="S13" s="614"/>
      <c r="T13" s="686"/>
      <c r="U13" s="687"/>
      <c r="V13" s="688"/>
      <c r="W13" s="687"/>
      <c r="X13" s="688"/>
      <c r="Y13" s="687"/>
      <c r="Z13" s="688"/>
      <c r="AA13" s="687"/>
      <c r="AB13" s="688"/>
      <c r="AC13" s="687"/>
      <c r="AD13" s="688"/>
      <c r="AE13" s="687"/>
      <c r="AF13" s="688"/>
      <c r="AG13" s="687"/>
      <c r="AH13" s="688"/>
      <c r="AI13" s="687"/>
      <c r="AJ13" s="688"/>
      <c r="AK13" s="689"/>
      <c r="AL13" s="689"/>
      <c r="AM13" s="687"/>
      <c r="AN13" s="688"/>
      <c r="AO13" s="687"/>
      <c r="AP13" s="688"/>
      <c r="AQ13" s="687"/>
      <c r="AR13" s="688"/>
      <c r="AS13" s="687"/>
      <c r="AT13" s="688"/>
      <c r="AU13" s="687"/>
      <c r="AV13" s="688"/>
      <c r="AW13" s="687"/>
      <c r="AX13" s="690"/>
      <c r="AY13" s="686"/>
      <c r="AZ13" s="689"/>
      <c r="BA13" s="689"/>
      <c r="BB13" s="689"/>
      <c r="BC13" s="687"/>
      <c r="BE13" s="604"/>
      <c r="BF13" s="604"/>
      <c r="BG13" s="604"/>
      <c r="BH13" s="604"/>
      <c r="BI13" s="604"/>
      <c r="BJ13" s="604"/>
      <c r="BK13" s="604"/>
      <c r="BL13" s="604"/>
      <c r="BM13" s="604"/>
      <c r="BN13" s="604"/>
      <c r="BO13" s="604"/>
      <c r="BP13" s="604"/>
    </row>
    <row r="14" spans="1:68" s="343" customFormat="1" ht="16.5" customHeight="1" x14ac:dyDescent="0.3">
      <c r="B14" s="1778" t="str">
        <f>IF('[2]Project Information'!$F$11="","Enter Number of Units in Project Information tab",CONCATENATE("This project has a total of ",'[2]Project Information'!$F$11," units. This results in a minimum of ",(7+ROUNDUP((('[2]Project Information'!$F$11-7)/7),0))," units to be tested."))</f>
        <v>Enter Number of Units in Project Information tab</v>
      </c>
      <c r="C14" s="1778"/>
      <c r="D14" s="1778"/>
      <c r="E14" s="1778"/>
      <c r="F14" s="1778"/>
      <c r="G14" s="1778"/>
      <c r="H14" s="1778"/>
      <c r="I14" s="1778"/>
      <c r="J14" s="1778"/>
      <c r="K14" s="1778"/>
      <c r="L14" s="1778"/>
      <c r="M14" s="1778"/>
      <c r="BE14" s="604"/>
      <c r="BF14" s="604"/>
      <c r="BG14" s="604"/>
      <c r="BH14" s="604"/>
      <c r="BI14" s="604"/>
      <c r="BJ14" s="604"/>
      <c r="BK14" s="604"/>
      <c r="BL14" s="604"/>
      <c r="BM14" s="604"/>
      <c r="BN14" s="604"/>
      <c r="BO14" s="604"/>
      <c r="BP14" s="604"/>
    </row>
    <row r="15" spans="1:68" ht="13.8" thickBot="1" x14ac:dyDescent="0.3">
      <c r="B15" s="691"/>
      <c r="H15" s="601"/>
      <c r="I15" s="601"/>
      <c r="M15" s="597"/>
      <c r="N15" s="597"/>
      <c r="O15" s="597"/>
      <c r="P15" s="597"/>
      <c r="Q15" s="601"/>
      <c r="R15" s="597"/>
      <c r="X15" s="692"/>
      <c r="AA15" s="692"/>
      <c r="AO15" s="1779"/>
      <c r="AP15" s="1779"/>
      <c r="AQ15" s="1779"/>
      <c r="AR15" s="1779"/>
      <c r="AS15" s="1779"/>
      <c r="AT15" s="1779"/>
      <c r="AU15" s="1779"/>
      <c r="AV15" s="1779"/>
      <c r="AW15" s="1779"/>
      <c r="AX15" s="1779"/>
      <c r="BA15" s="601"/>
      <c r="BE15" s="602"/>
      <c r="BF15" s="602"/>
      <c r="BG15" s="602"/>
      <c r="BH15" s="602"/>
      <c r="BI15" s="602"/>
      <c r="BJ15" s="602"/>
      <c r="BK15" s="602"/>
      <c r="BL15" s="602"/>
      <c r="BM15" s="602"/>
      <c r="BN15" s="602"/>
      <c r="BO15" s="602"/>
      <c r="BP15" s="602"/>
    </row>
    <row r="16" spans="1:68" ht="15.9" customHeight="1" thickBot="1" x14ac:dyDescent="0.3">
      <c r="B16" s="1780" t="s">
        <v>1159</v>
      </c>
      <c r="C16" s="1781"/>
      <c r="D16" s="1781"/>
      <c r="E16" s="1782"/>
      <c r="F16" s="1780" t="s">
        <v>1160</v>
      </c>
      <c r="G16" s="1781"/>
      <c r="H16" s="1781"/>
      <c r="I16" s="1781"/>
      <c r="J16" s="1781"/>
      <c r="K16" s="1781"/>
      <c r="L16" s="1781"/>
      <c r="M16" s="1782"/>
      <c r="N16" s="693" t="s">
        <v>1161</v>
      </c>
      <c r="O16" s="1783" t="s">
        <v>1162</v>
      </c>
      <c r="P16" s="1784"/>
      <c r="Q16" s="1784"/>
      <c r="R16" s="1784"/>
      <c r="S16" s="1784"/>
      <c r="T16" s="1784"/>
      <c r="U16" s="1784"/>
      <c r="V16" s="1784"/>
      <c r="W16" s="1784"/>
      <c r="X16" s="1784"/>
      <c r="Y16" s="1784"/>
      <c r="Z16" s="1784"/>
      <c r="AA16" s="1784"/>
      <c r="AB16" s="1784"/>
      <c r="AC16" s="1784"/>
      <c r="AD16" s="1784"/>
      <c r="AE16" s="1784"/>
      <c r="AF16" s="1784"/>
      <c r="AG16" s="1784"/>
      <c r="AH16" s="1784"/>
      <c r="AI16" s="1784"/>
      <c r="AJ16" s="1784"/>
      <c r="AK16" s="1784"/>
      <c r="AL16" s="1784"/>
      <c r="AM16" s="1784"/>
      <c r="AN16" s="1784"/>
      <c r="AO16" s="1784"/>
      <c r="AP16" s="1784"/>
      <c r="AQ16" s="1784"/>
      <c r="AR16" s="1784"/>
      <c r="AS16" s="1784"/>
      <c r="AT16" s="1784"/>
      <c r="AU16" s="1784"/>
      <c r="AV16" s="1785"/>
      <c r="AW16" s="694"/>
      <c r="AX16" s="695"/>
      <c r="AY16" s="695"/>
      <c r="AZ16" s="695"/>
      <c r="BA16" s="695"/>
      <c r="BB16" s="695"/>
      <c r="BC16" s="695"/>
      <c r="BE16" s="602"/>
      <c r="BF16" s="602"/>
      <c r="BG16" s="602"/>
      <c r="BH16" s="602"/>
      <c r="BI16" s="602"/>
      <c r="BJ16" s="602"/>
      <c r="BK16" s="602"/>
      <c r="BL16" s="602"/>
      <c r="BM16" s="602"/>
      <c r="BN16" s="602"/>
      <c r="BO16" s="602"/>
      <c r="BP16" s="602"/>
    </row>
    <row r="17" spans="1:77" ht="50.25" customHeight="1" x14ac:dyDescent="0.3">
      <c r="A17"/>
      <c r="B17" s="1762" t="s">
        <v>1163</v>
      </c>
      <c r="C17" s="1764" t="s">
        <v>1066</v>
      </c>
      <c r="D17" s="1766" t="s">
        <v>1164</v>
      </c>
      <c r="E17" s="1752" t="s">
        <v>1072</v>
      </c>
      <c r="F17" s="696" t="s">
        <v>1165</v>
      </c>
      <c r="G17" s="1766" t="s">
        <v>1166</v>
      </c>
      <c r="H17" s="1766" t="s">
        <v>1167</v>
      </c>
      <c r="I17" s="1766" t="s">
        <v>1168</v>
      </c>
      <c r="J17" s="1766" t="s">
        <v>1169</v>
      </c>
      <c r="K17" s="1766" t="s">
        <v>1170</v>
      </c>
      <c r="L17" s="1766" t="s">
        <v>1171</v>
      </c>
      <c r="M17" s="1752" t="s">
        <v>1172</v>
      </c>
      <c r="N17" s="1753" t="s">
        <v>1173</v>
      </c>
      <c r="O17" s="1770" t="s">
        <v>1174</v>
      </c>
      <c r="P17" s="1750" t="s">
        <v>1175</v>
      </c>
      <c r="Q17" s="1766"/>
      <c r="R17" s="1756" t="s">
        <v>1176</v>
      </c>
      <c r="S17" s="1753" t="s">
        <v>1177</v>
      </c>
      <c r="T17" s="1758"/>
      <c r="U17" s="1750" t="s">
        <v>1178</v>
      </c>
      <c r="V17" s="1751"/>
      <c r="W17" s="1750" t="s">
        <v>1167</v>
      </c>
      <c r="X17" s="1751"/>
      <c r="Y17" s="1750" t="s">
        <v>1179</v>
      </c>
      <c r="Z17" s="1751"/>
      <c r="AA17" s="1750" t="s">
        <v>1168</v>
      </c>
      <c r="AB17" s="1751"/>
      <c r="AC17" s="1750" t="s">
        <v>1169</v>
      </c>
      <c r="AD17" s="1751"/>
      <c r="AE17" s="1750" t="s">
        <v>1170</v>
      </c>
      <c r="AF17" s="1751"/>
      <c r="AG17" s="1750" t="s">
        <v>1171</v>
      </c>
      <c r="AH17" s="1751"/>
      <c r="AI17" s="1750" t="s">
        <v>1172</v>
      </c>
      <c r="AJ17" s="1766"/>
      <c r="AK17" s="1753" t="s">
        <v>1180</v>
      </c>
      <c r="AL17" s="1752" t="s">
        <v>1181</v>
      </c>
      <c r="AM17" s="1753" t="s">
        <v>1182</v>
      </c>
      <c r="AN17" s="1751"/>
      <c r="AO17" s="1750" t="s">
        <v>1183</v>
      </c>
      <c r="AP17" s="1751"/>
      <c r="AQ17" s="1750" t="s">
        <v>1184</v>
      </c>
      <c r="AR17" s="1751"/>
      <c r="AS17" s="1750" t="s">
        <v>1185</v>
      </c>
      <c r="AT17" s="1751"/>
      <c r="AU17" s="1750" t="s">
        <v>1186</v>
      </c>
      <c r="AV17" s="1752"/>
      <c r="AW17" s="697"/>
      <c r="AX17" s="698"/>
      <c r="AY17" s="698"/>
      <c r="AZ17" s="698"/>
      <c r="BA17" s="698"/>
      <c r="BB17" s="698"/>
      <c r="BC17" s="698"/>
      <c r="BD17" s="699"/>
      <c r="BE17" s="699"/>
      <c r="BF17" s="699"/>
      <c r="BG17" s="699"/>
      <c r="BH17" s="699"/>
      <c r="BI17" s="699"/>
      <c r="BJ17" s="699"/>
      <c r="BK17" s="699"/>
      <c r="BL17" s="699"/>
      <c r="BM17" s="699"/>
      <c r="BN17" s="699"/>
      <c r="BO17" s="699"/>
      <c r="BP17" s="699"/>
      <c r="BQ17" s="700"/>
      <c r="BR17" s="700"/>
      <c r="BS17" s="700"/>
      <c r="BT17" s="700"/>
      <c r="BU17" s="700"/>
      <c r="BV17" s="700"/>
      <c r="BW17" s="700"/>
      <c r="BX17" s="700"/>
      <c r="BY17" s="700"/>
    </row>
    <row r="18" spans="1:77" ht="12.9" customHeight="1" thickBot="1" x14ac:dyDescent="0.3">
      <c r="B18" s="1763"/>
      <c r="C18" s="1765"/>
      <c r="D18" s="1767"/>
      <c r="E18" s="1755"/>
      <c r="F18" s="701"/>
      <c r="G18" s="1768"/>
      <c r="H18" s="1768"/>
      <c r="I18" s="1768"/>
      <c r="J18" s="1768"/>
      <c r="K18" s="1768"/>
      <c r="L18" s="1768"/>
      <c r="M18" s="1769"/>
      <c r="N18" s="1761"/>
      <c r="O18" s="1771"/>
      <c r="P18" s="702" t="s">
        <v>1187</v>
      </c>
      <c r="Q18" s="703" t="s">
        <v>1188</v>
      </c>
      <c r="R18" s="1757"/>
      <c r="S18" s="704" t="s">
        <v>1187</v>
      </c>
      <c r="T18" s="705" t="s">
        <v>1188</v>
      </c>
      <c r="U18" s="702" t="s">
        <v>1187</v>
      </c>
      <c r="V18" s="705" t="s">
        <v>1188</v>
      </c>
      <c r="W18" s="702" t="s">
        <v>1187</v>
      </c>
      <c r="X18" s="705" t="s">
        <v>1188</v>
      </c>
      <c r="Y18" s="702" t="s">
        <v>1187</v>
      </c>
      <c r="Z18" s="705" t="s">
        <v>1188</v>
      </c>
      <c r="AA18" s="702" t="s">
        <v>1187</v>
      </c>
      <c r="AB18" s="705" t="s">
        <v>1188</v>
      </c>
      <c r="AC18" s="702" t="s">
        <v>1187</v>
      </c>
      <c r="AD18" s="705" t="s">
        <v>1188</v>
      </c>
      <c r="AE18" s="702" t="s">
        <v>1187</v>
      </c>
      <c r="AF18" s="705" t="s">
        <v>1188</v>
      </c>
      <c r="AG18" s="702" t="s">
        <v>1187</v>
      </c>
      <c r="AH18" s="705" t="s">
        <v>1188</v>
      </c>
      <c r="AI18" s="702" t="s">
        <v>1187</v>
      </c>
      <c r="AJ18" s="703" t="s">
        <v>1188</v>
      </c>
      <c r="AK18" s="1754"/>
      <c r="AL18" s="1755"/>
      <c r="AM18" s="704" t="s">
        <v>1187</v>
      </c>
      <c r="AN18" s="705" t="s">
        <v>1188</v>
      </c>
      <c r="AO18" s="702" t="s">
        <v>1187</v>
      </c>
      <c r="AP18" s="705" t="s">
        <v>1188</v>
      </c>
      <c r="AQ18" s="702" t="s">
        <v>1187</v>
      </c>
      <c r="AR18" s="705" t="s">
        <v>1188</v>
      </c>
      <c r="AS18" s="702" t="s">
        <v>1187</v>
      </c>
      <c r="AT18" s="705" t="s">
        <v>1188</v>
      </c>
      <c r="AU18" s="702" t="s">
        <v>1187</v>
      </c>
      <c r="AV18" s="706" t="s">
        <v>1188</v>
      </c>
      <c r="AW18" s="707"/>
      <c r="AX18" s="698"/>
      <c r="AY18" s="698"/>
      <c r="AZ18" s="698"/>
      <c r="BA18" s="698"/>
      <c r="BB18" s="698"/>
      <c r="BC18" s="698"/>
      <c r="BD18" s="602"/>
      <c r="BE18" s="602"/>
      <c r="BF18" s="602"/>
      <c r="BG18" s="602"/>
      <c r="BH18" s="602"/>
      <c r="BI18" s="708"/>
      <c r="BJ18" s="708"/>
      <c r="BK18" s="602"/>
      <c r="BL18" s="602"/>
      <c r="BM18" s="602"/>
      <c r="BN18" s="602"/>
      <c r="BO18" s="602"/>
      <c r="BP18" s="602"/>
    </row>
    <row r="19" spans="1:77" s="709" customFormat="1" ht="13.8" hidden="1" thickBot="1" x14ac:dyDescent="0.35">
      <c r="B19" s="710" t="s">
        <v>554</v>
      </c>
      <c r="C19" s="711" t="s">
        <v>1105</v>
      </c>
      <c r="D19" s="712" t="s">
        <v>1106</v>
      </c>
      <c r="E19" s="713" t="s">
        <v>1107</v>
      </c>
      <c r="F19" s="714" t="s">
        <v>1108</v>
      </c>
      <c r="G19" s="712" t="s">
        <v>1109</v>
      </c>
      <c r="H19" s="712" t="s">
        <v>1110</v>
      </c>
      <c r="I19" s="713" t="s">
        <v>1111</v>
      </c>
      <c r="J19" s="715" t="s">
        <v>1112</v>
      </c>
      <c r="K19" s="716" t="s">
        <v>1113</v>
      </c>
      <c r="L19" s="712" t="s">
        <v>1114</v>
      </c>
      <c r="M19" s="717" t="s">
        <v>1115</v>
      </c>
      <c r="N19" s="718" t="s">
        <v>1116</v>
      </c>
      <c r="O19" s="719" t="s">
        <v>1117</v>
      </c>
      <c r="P19" s="720" t="s">
        <v>1118</v>
      </c>
      <c r="Q19" s="721" t="s">
        <v>1119</v>
      </c>
      <c r="R19" s="722" t="s">
        <v>1120</v>
      </c>
      <c r="S19" s="720" t="s">
        <v>1121</v>
      </c>
      <c r="T19" s="723" t="s">
        <v>1122</v>
      </c>
      <c r="U19" s="724" t="s">
        <v>1123</v>
      </c>
      <c r="V19" s="725" t="s">
        <v>1124</v>
      </c>
      <c r="W19" s="726" t="s">
        <v>1125</v>
      </c>
      <c r="X19" s="725" t="s">
        <v>1126</v>
      </c>
      <c r="Y19" s="726" t="s">
        <v>1127</v>
      </c>
      <c r="Z19" s="725" t="s">
        <v>1128</v>
      </c>
      <c r="AA19" s="726" t="s">
        <v>1129</v>
      </c>
      <c r="AB19" s="725" t="s">
        <v>1130</v>
      </c>
      <c r="AC19" s="726" t="s">
        <v>1131</v>
      </c>
      <c r="AD19" s="725" t="s">
        <v>1132</v>
      </c>
      <c r="AE19" s="726" t="s">
        <v>1133</v>
      </c>
      <c r="AF19" s="725" t="s">
        <v>1134</v>
      </c>
      <c r="AG19" s="726" t="s">
        <v>1135</v>
      </c>
      <c r="AH19" s="725" t="s">
        <v>1136</v>
      </c>
      <c r="AI19" s="726" t="s">
        <v>1137</v>
      </c>
      <c r="AJ19" s="727" t="s">
        <v>1138</v>
      </c>
      <c r="AK19" s="720" t="s">
        <v>1139</v>
      </c>
      <c r="AL19" s="728" t="s">
        <v>1140</v>
      </c>
      <c r="AM19" s="720" t="s">
        <v>1141</v>
      </c>
      <c r="AN19" s="725" t="s">
        <v>1142</v>
      </c>
      <c r="AO19" s="726" t="s">
        <v>1143</v>
      </c>
      <c r="AP19" s="725" t="s">
        <v>1144</v>
      </c>
      <c r="AQ19" s="726" t="s">
        <v>1145</v>
      </c>
      <c r="AR19" s="725" t="s">
        <v>1146</v>
      </c>
      <c r="AS19" s="726" t="s">
        <v>1147</v>
      </c>
      <c r="AT19" s="725" t="s">
        <v>1148</v>
      </c>
      <c r="AU19" s="726" t="s">
        <v>1149</v>
      </c>
      <c r="AV19" s="721" t="s">
        <v>1150</v>
      </c>
      <c r="AW19" s="729"/>
      <c r="AX19" s="730"/>
      <c r="AY19" s="731"/>
      <c r="AZ19" s="731"/>
      <c r="BA19" s="732"/>
      <c r="BB19" s="732"/>
      <c r="BC19" s="733"/>
      <c r="BD19" s="734"/>
      <c r="BE19" s="734"/>
      <c r="BF19" s="734"/>
      <c r="BG19" s="734"/>
      <c r="BH19" s="735"/>
      <c r="BI19" s="735"/>
      <c r="BJ19" s="734"/>
      <c r="BK19" s="734"/>
      <c r="BL19" s="734"/>
      <c r="BM19" s="734"/>
      <c r="BN19" s="734"/>
      <c r="BO19" s="734"/>
      <c r="BP19" s="734"/>
    </row>
    <row r="20" spans="1:77" s="709" customFormat="1" x14ac:dyDescent="0.3">
      <c r="B20" s="629"/>
      <c r="C20" s="736"/>
      <c r="D20" s="737" t="str">
        <f t="shared" ref="D20:D83" si="4">IF(C20="","",VLOOKUP(C20,$B$7:$R$13,4))</f>
        <v/>
      </c>
      <c r="E20" s="738" t="str">
        <f t="shared" ref="E20:E83" si="5">IF(C20="","",VLOOKUP(C20,$B$7:$R$13,7))</f>
        <v/>
      </c>
      <c r="F20" s="739" t="str">
        <f t="shared" ref="F20:F83" si="6">IF($C20="","",
IF(AND($R20="Final",VLOOKUP($C20,$B$7:$R$13,8)=0,$D20&lt;=1000),60,
IF(AND($R20="Final",VLOOKUP($C20,$B$7:$R$13,8)=0,$D20&gt;1000),$D20*0.06,
IF(AND($R20="Final",VLOOKUP($C20,$B$7:$R$13,8)&lt;3,$D20&lt;=1000),80,
IF(AND($R20="Final",VLOOKUP($C20,$B$7:$R$13,8)&lt;3,$D20&gt;1000),$D20*0.08,
IF(AND($R20="Final",VLOOKUP($C20,$B$7:$R$13,8)&gt;=3,$D20&lt;=1000),120,
IF(AND($R20="FInal",VLOOKUP($C20,$B$7:$R$13,8)&gt;=3,$D20&gt;1000),$D20*0.12,
IF(AND($R20="Rough-In",VLOOKUP($C20,$B$7:$R$13,8)=0,$D20&lt;=1000),30,
IF(AND($R20="Rough-In",VLOOKUP($C20,$B$7:$R$13,8)=0,$D20&gt;1000),$D20*0.03,
IF(AND($R20="Rough-In",VLOOKUP($C20,$B$7:$R$13,8)&lt;3,$D20&lt;=1000),40,
IF(AND($R20="Rough-In",VLOOKUP($C20,$B$7:$R$13,8)&lt;3,$D20&gt;1000),$D20*0.04,
IF(AND($R20="Rough-In",VLOOKUP($C20,$B$7:$R$13,8)&gt;=3,$D20&lt;=1000),60,
IF(AND($R20="Rough-In",VLOOKUP($C20,$B$7:$R$13,8)&gt;=3,$D20&gt;1000),$D20*0.06,
"")))))))))))))</f>
        <v/>
      </c>
      <c r="G20" s="740" t="str">
        <f>IF($C20="","",IF($D20&lt;1000,40,$D20*0.04))</f>
        <v/>
      </c>
      <c r="H20" s="740" t="str">
        <f>IF($C20="","",$E20*0.3)</f>
        <v/>
      </c>
      <c r="I20" s="738" t="str">
        <f t="shared" ref="I20:I83" si="7">IF($C20="","",VLOOKUP($C20,$B$7:$R$13,10))</f>
        <v/>
      </c>
      <c r="J20" s="741" t="str">
        <f t="shared" ref="J20:J83" si="8">IF($C20="","",
IF(VLOOKUP($C20,$B$7:$R$13,12)="Intermittent",100,
IF(AND(VLOOKUP($C20,$B$7:$R$13,12)="Continuous",VLOOKUP($C20,$B$7:$R$13,13)=""),"Volume Above?",
IF(VLOOKUP($C20,$B$7:$R$13,12)="Continuous",((5*VLOOKUP($C20,$B$7:$R$13,13))/60),""))))</f>
        <v/>
      </c>
      <c r="K20" s="737" t="str">
        <f t="shared" ref="K20:K83" si="9">IF($C20="","",IF(VLOOKUP($C20,$B$7:$R$13,14)="Continuous",20,IF(VLOOKUP($C20,$B$7:$R$13,14)="Intermittent",50,"")))</f>
        <v/>
      </c>
      <c r="L20" s="740" t="str">
        <f t="shared" ref="L20:L83" si="10">IF($C20="","",IF(VLOOKUP($C20,$B$7:$R$13,15)="Continuous",20,IF(VLOOKUP($C20,$B$7:$R$13,15)="Intermittent",50,"")))</f>
        <v/>
      </c>
      <c r="M20" s="742" t="str">
        <f t="shared" ref="M20:M83" si="11">IF($C20="","",IF(VLOOKUP($C20,$B$7:$R$13,16)="Continuous",20,IF(VLOOKUP($C20,$B$7:$R$13,16)="Intermittent",50,"")))</f>
        <v/>
      </c>
      <c r="N20" s="743"/>
      <c r="O20" s="744"/>
      <c r="P20" s="745"/>
      <c r="Q20" s="746" t="str">
        <f>IF($P20="","",IF($P20&lt;=$F20,"PASS","FAIL"))</f>
        <v/>
      </c>
      <c r="R20" s="747"/>
      <c r="S20" s="745"/>
      <c r="T20" s="748" t="str">
        <f t="shared" ref="T20:T83" si="12">IF($S20="","",
IF($S20&lt;=5,"PASS",
IF(AND(VLOOKUP($C20,$B$7:$R$13,17)=1.5,$S20&lt;=6),"PASS",
IF(AND(VLOOKUP($C20,$B$7:$R$13,17)=2,$S20&lt;=7),"PASS",
IF(AND(VLOOKUP($C20,$B$7:$R$13,17)=2.5,$S20&lt;=8),"PASS",
IF(AND(VLOOKUP($C20,$B$7:$R$13,17)=3,$S20&lt;=9),"PASS",
IF(AND(VLOOKUP($C20,$B$7:$R$13,17)=3.5,$S20&lt;=10),"PASS",
IF(AND(VLOOKUP($C20,$B$7:$R$13,17)=4,$S20&lt;=11),"PASS","FAIL"))))))))</f>
        <v/>
      </c>
      <c r="U20" s="749"/>
      <c r="V20" s="750" t="str">
        <f>IF($U20="","",
IF($U20&lt;=$G20,"PASS","FAIL"))</f>
        <v/>
      </c>
      <c r="W20" s="751"/>
      <c r="X20" s="750" t="str">
        <f>IF($W20="","",
IF($W20&lt;=$H20,"PASS","FAIL"))</f>
        <v/>
      </c>
      <c r="Y20" s="751"/>
      <c r="Z20" s="750" t="str">
        <f>IF($Y20="","",
IF(AND($Y20&gt;=-5,$Y20&lt;=5),"PASS","FAIL"))</f>
        <v/>
      </c>
      <c r="AA20" s="751"/>
      <c r="AB20" s="750" t="str">
        <f>IF($AA20="","",
IF(AND($I20&gt;=100,($I20*1.15)&lt;$AA20),"FAIL",
IF(AND($I20&lt;100,($I20+15)&lt;$AA20),"FAIL",
IF($AA20&gt;=$I20,"PASS","FAIL"))))</f>
        <v/>
      </c>
      <c r="AC20" s="751"/>
      <c r="AD20" s="750" t="str">
        <f>IF($AC20="","",
IF($AC20&gt;=$J20,"PASS","FAIL"))</f>
        <v/>
      </c>
      <c r="AE20" s="751"/>
      <c r="AF20" s="750" t="str">
        <f>IF($AE20="","",
IF($AE20&gt;=$K20,"PASS","FAIL"))</f>
        <v/>
      </c>
      <c r="AG20" s="751"/>
      <c r="AH20" s="750" t="str">
        <f>IF($AG20="","",
IF($AG20&gt;=$L20,"PASS","FAIL"))</f>
        <v/>
      </c>
      <c r="AI20" s="751"/>
      <c r="AJ20" s="752" t="str">
        <f>IF($AI20="","",
IF($AI20&gt;=$M20,"PASS","FAIL"))</f>
        <v/>
      </c>
      <c r="AK20" s="745"/>
      <c r="AL20" s="753"/>
      <c r="AM20" s="745"/>
      <c r="AN20" s="750" t="str">
        <f>IF($AM20="","",
IF($AM20&lt;=125,"PASS","FAIL"))</f>
        <v/>
      </c>
      <c r="AO20" s="751"/>
      <c r="AP20" s="750" t="str">
        <f>IF($AO20="","",
IF($AO20&lt;=125,"PASS","FAIL"))</f>
        <v/>
      </c>
      <c r="AQ20" s="751"/>
      <c r="AR20" s="750" t="str">
        <f>IF($AQ20="","",
IF(AND($AQ20&gt;=-5,$AQ20&lt;=5),"PASS","FAIL"))</f>
        <v/>
      </c>
      <c r="AS20" s="751"/>
      <c r="AT20" s="750" t="str">
        <f>IF($AS20="","",
IF(AND($AS20&gt;=-5,$AS20&lt;=5),"PASS","FAIL"))</f>
        <v/>
      </c>
      <c r="AU20" s="751"/>
      <c r="AV20" s="746" t="str">
        <f>IF($AU20="","",
IF(AND($AU20&gt;=-5,$AU20&lt;=5),"PASS","FAIL"))</f>
        <v/>
      </c>
      <c r="AW20" s="729"/>
      <c r="AX20" s="1738" t="s">
        <v>1158</v>
      </c>
      <c r="AY20" s="1739"/>
      <c r="AZ20" s="1739"/>
      <c r="BA20" s="1739"/>
      <c r="BB20" s="1739"/>
      <c r="BC20" s="1740"/>
      <c r="BD20" s="734"/>
      <c r="BE20" s="734"/>
      <c r="BF20" s="734"/>
      <c r="BG20" s="734"/>
      <c r="BH20" s="734"/>
      <c r="BI20" s="734"/>
      <c r="BJ20" s="734"/>
      <c r="BK20" s="734"/>
      <c r="BL20" s="734"/>
      <c r="BM20" s="734"/>
      <c r="BN20" s="734"/>
      <c r="BO20" s="734"/>
      <c r="BP20" s="734"/>
    </row>
    <row r="21" spans="1:77" s="709" customFormat="1" x14ac:dyDescent="0.3">
      <c r="B21" s="664"/>
      <c r="C21" s="754"/>
      <c r="D21" s="755" t="str">
        <f t="shared" si="4"/>
        <v/>
      </c>
      <c r="E21" s="756" t="str">
        <f t="shared" si="5"/>
        <v/>
      </c>
      <c r="F21" s="757" t="str">
        <f t="shared" si="6"/>
        <v/>
      </c>
      <c r="G21" s="758" t="str">
        <f t="shared" ref="G21:G84" si="13">IF($C21="","",IF($D21&lt;1000,40,$D21*0.04))</f>
        <v/>
      </c>
      <c r="H21" s="758" t="str">
        <f t="shared" ref="H21:H84" si="14">IF($C21="","",$E21*0.3)</f>
        <v/>
      </c>
      <c r="I21" s="756" t="str">
        <f t="shared" si="7"/>
        <v/>
      </c>
      <c r="J21" s="759" t="str">
        <f t="shared" si="8"/>
        <v/>
      </c>
      <c r="K21" s="755" t="str">
        <f t="shared" si="9"/>
        <v/>
      </c>
      <c r="L21" s="758" t="str">
        <f t="shared" si="10"/>
        <v/>
      </c>
      <c r="M21" s="760" t="str">
        <f t="shared" si="11"/>
        <v/>
      </c>
      <c r="N21" s="761"/>
      <c r="O21" s="762"/>
      <c r="P21" s="763"/>
      <c r="Q21" s="764" t="str">
        <f t="shared" ref="Q21:Q84" si="15">IF($P21="","",IF($P21&lt;=$F21,"PASS","FAIL"))</f>
        <v/>
      </c>
      <c r="R21" s="765"/>
      <c r="S21" s="763"/>
      <c r="T21" s="766" t="str">
        <f t="shared" si="12"/>
        <v/>
      </c>
      <c r="U21" s="767"/>
      <c r="V21" s="768" t="str">
        <f t="shared" ref="V21:V84" si="16">IF($U21="","",
IF($U21&lt;=$G21,"PASS","FAIL"))</f>
        <v/>
      </c>
      <c r="W21" s="769"/>
      <c r="X21" s="768" t="str">
        <f t="shared" ref="X21:X84" si="17">IF($W21="","",
IF($W21&lt;=$H21,"PASS","FAIL"))</f>
        <v/>
      </c>
      <c r="Y21" s="769"/>
      <c r="Z21" s="768" t="str">
        <f t="shared" ref="Z21:Z84" si="18">IF($Y21="","",
IF(AND($Y21&gt;=-5,$Y21&lt;=5),"PASS","FAIL"))</f>
        <v/>
      </c>
      <c r="AA21" s="769"/>
      <c r="AB21" s="768" t="str">
        <f t="shared" ref="AB21:AB84" si="19">IF($AA21="","",
IF(AND($I21&gt;=100,($I21*1.15)&lt;$AA21),"FAIL",
IF(AND($I21&lt;100,($I21+15)&lt;$AA21),"FAIL",
IF($AA21&gt;=$I21,"PASS","FAIL"))))</f>
        <v/>
      </c>
      <c r="AC21" s="769"/>
      <c r="AD21" s="768" t="str">
        <f t="shared" ref="AD21:AD84" si="20">IF($AC21="","",
IF($AC21&gt;=$J21,"PASS","FAIL"))</f>
        <v/>
      </c>
      <c r="AE21" s="769"/>
      <c r="AF21" s="768" t="str">
        <f t="shared" ref="AF21:AF84" si="21">IF($AE21="","",
IF($AE21&gt;=$K21,"PASS","FAIL"))</f>
        <v/>
      </c>
      <c r="AG21" s="769"/>
      <c r="AH21" s="768" t="str">
        <f t="shared" ref="AH21:AH84" si="22">IF($AG21="","",
IF($AG21&gt;=$L21,"PASS","FAIL"))</f>
        <v/>
      </c>
      <c r="AI21" s="769"/>
      <c r="AJ21" s="770" t="str">
        <f t="shared" ref="AJ21:AJ84" si="23">IF($AI21="","",
IF($AI21&gt;=$M21,"PASS","FAIL"))</f>
        <v/>
      </c>
      <c r="AK21" s="763"/>
      <c r="AL21" s="771"/>
      <c r="AM21" s="763"/>
      <c r="AN21" s="768" t="str">
        <f t="shared" ref="AN21:AN84" si="24">IF($AM21="","",
IF($AM21&lt;=125,"PASS","FAIL"))</f>
        <v/>
      </c>
      <c r="AO21" s="769"/>
      <c r="AP21" s="768" t="str">
        <f t="shared" ref="AP21:AP84" si="25">IF($AO21="","",
IF($AO21&lt;=125,"PASS","FAIL"))</f>
        <v/>
      </c>
      <c r="AQ21" s="769"/>
      <c r="AR21" s="768" t="str">
        <f t="shared" ref="AR21:AR84" si="26">IF($AQ21="","",
IF(AND($AQ21&gt;=-5,$AQ21&lt;=5),"PASS","FAIL"))</f>
        <v/>
      </c>
      <c r="AS21" s="769"/>
      <c r="AT21" s="768" t="str">
        <f t="shared" ref="AT21:AT84" si="27">IF($AS21="","",
IF(AND($AS21&gt;=-5,$AS21&lt;=5),"PASS","FAIL"))</f>
        <v/>
      </c>
      <c r="AU21" s="769"/>
      <c r="AV21" s="764" t="str">
        <f t="shared" ref="AV21:AV84" si="28">IF($AU21="","",
IF(AND($AU21&gt;=-5,$AU21&lt;=5),"PASS","FAIL"))</f>
        <v/>
      </c>
      <c r="AW21" s="729"/>
      <c r="AX21" s="1741"/>
      <c r="AY21" s="1742"/>
      <c r="AZ21" s="1742"/>
      <c r="BA21" s="1742"/>
      <c r="BB21" s="1742"/>
      <c r="BC21" s="1743"/>
      <c r="BD21" s="734"/>
      <c r="BE21" s="734"/>
      <c r="BF21" s="734"/>
      <c r="BG21" s="734"/>
      <c r="BH21" s="734"/>
      <c r="BI21" s="734"/>
      <c r="BJ21" s="734"/>
      <c r="BK21" s="734"/>
      <c r="BL21" s="734"/>
      <c r="BM21" s="734"/>
      <c r="BN21" s="734"/>
      <c r="BO21" s="734"/>
      <c r="BP21" s="734"/>
    </row>
    <row r="22" spans="1:77" s="709" customFormat="1" ht="13.8" thickBot="1" x14ac:dyDescent="0.35">
      <c r="B22" s="664"/>
      <c r="C22" s="754"/>
      <c r="D22" s="755" t="str">
        <f t="shared" si="4"/>
        <v/>
      </c>
      <c r="E22" s="756" t="str">
        <f t="shared" si="5"/>
        <v/>
      </c>
      <c r="F22" s="757" t="str">
        <f t="shared" si="6"/>
        <v/>
      </c>
      <c r="G22" s="758" t="str">
        <f t="shared" si="13"/>
        <v/>
      </c>
      <c r="H22" s="758" t="str">
        <f t="shared" si="14"/>
        <v/>
      </c>
      <c r="I22" s="756" t="str">
        <f t="shared" si="7"/>
        <v/>
      </c>
      <c r="J22" s="759" t="str">
        <f t="shared" si="8"/>
        <v/>
      </c>
      <c r="K22" s="755" t="str">
        <f t="shared" si="9"/>
        <v/>
      </c>
      <c r="L22" s="758" t="str">
        <f t="shared" si="10"/>
        <v/>
      </c>
      <c r="M22" s="760" t="str">
        <f t="shared" si="11"/>
        <v/>
      </c>
      <c r="N22" s="761"/>
      <c r="O22" s="762"/>
      <c r="P22" s="763"/>
      <c r="Q22" s="764" t="str">
        <f t="shared" si="15"/>
        <v/>
      </c>
      <c r="R22" s="765"/>
      <c r="S22" s="763"/>
      <c r="T22" s="766" t="str">
        <f t="shared" si="12"/>
        <v/>
      </c>
      <c r="U22" s="767"/>
      <c r="V22" s="768" t="str">
        <f t="shared" si="16"/>
        <v/>
      </c>
      <c r="W22" s="769"/>
      <c r="X22" s="768" t="str">
        <f t="shared" si="17"/>
        <v/>
      </c>
      <c r="Y22" s="769"/>
      <c r="Z22" s="768" t="str">
        <f t="shared" si="18"/>
        <v/>
      </c>
      <c r="AA22" s="769"/>
      <c r="AB22" s="768" t="str">
        <f t="shared" si="19"/>
        <v/>
      </c>
      <c r="AC22" s="769"/>
      <c r="AD22" s="768" t="str">
        <f t="shared" si="20"/>
        <v/>
      </c>
      <c r="AE22" s="769"/>
      <c r="AF22" s="768" t="str">
        <f t="shared" si="21"/>
        <v/>
      </c>
      <c r="AG22" s="769"/>
      <c r="AH22" s="768" t="str">
        <f t="shared" si="22"/>
        <v/>
      </c>
      <c r="AI22" s="769"/>
      <c r="AJ22" s="770" t="str">
        <f t="shared" si="23"/>
        <v/>
      </c>
      <c r="AK22" s="763"/>
      <c r="AL22" s="771"/>
      <c r="AM22" s="763"/>
      <c r="AN22" s="768" t="str">
        <f t="shared" si="24"/>
        <v/>
      </c>
      <c r="AO22" s="769"/>
      <c r="AP22" s="768" t="str">
        <f t="shared" si="25"/>
        <v/>
      </c>
      <c r="AQ22" s="769"/>
      <c r="AR22" s="768" t="str">
        <f t="shared" si="26"/>
        <v/>
      </c>
      <c r="AS22" s="769"/>
      <c r="AT22" s="768" t="str">
        <f t="shared" si="27"/>
        <v/>
      </c>
      <c r="AU22" s="769"/>
      <c r="AV22" s="764" t="str">
        <f t="shared" si="28"/>
        <v/>
      </c>
      <c r="AW22" s="729"/>
      <c r="AX22" s="1744"/>
      <c r="AY22" s="1745"/>
      <c r="AZ22" s="1745"/>
      <c r="BA22" s="1745"/>
      <c r="BB22" s="1745"/>
      <c r="BC22" s="1746"/>
      <c r="BD22" s="734"/>
      <c r="BE22" s="734"/>
      <c r="BF22" s="734"/>
      <c r="BG22" s="734"/>
      <c r="BH22" s="734"/>
      <c r="BI22" s="734"/>
      <c r="BJ22" s="734"/>
      <c r="BK22" s="734"/>
      <c r="BL22" s="734"/>
      <c r="BM22" s="734"/>
      <c r="BN22" s="734"/>
      <c r="BO22" s="734"/>
      <c r="BP22" s="734"/>
    </row>
    <row r="23" spans="1:77" s="709" customFormat="1" x14ac:dyDescent="0.3">
      <c r="B23" s="664"/>
      <c r="C23" s="754"/>
      <c r="D23" s="755" t="str">
        <f t="shared" si="4"/>
        <v/>
      </c>
      <c r="E23" s="756" t="str">
        <f t="shared" si="5"/>
        <v/>
      </c>
      <c r="F23" s="757" t="str">
        <f t="shared" si="6"/>
        <v/>
      </c>
      <c r="G23" s="758" t="str">
        <f t="shared" si="13"/>
        <v/>
      </c>
      <c r="H23" s="758" t="str">
        <f t="shared" si="14"/>
        <v/>
      </c>
      <c r="I23" s="756" t="str">
        <f t="shared" si="7"/>
        <v/>
      </c>
      <c r="J23" s="759" t="str">
        <f t="shared" si="8"/>
        <v/>
      </c>
      <c r="K23" s="755" t="str">
        <f t="shared" si="9"/>
        <v/>
      </c>
      <c r="L23" s="758" t="str">
        <f t="shared" si="10"/>
        <v/>
      </c>
      <c r="M23" s="760" t="str">
        <f t="shared" si="11"/>
        <v/>
      </c>
      <c r="N23" s="761"/>
      <c r="O23" s="762"/>
      <c r="P23" s="763"/>
      <c r="Q23" s="764" t="str">
        <f t="shared" si="15"/>
        <v/>
      </c>
      <c r="R23" s="765"/>
      <c r="S23" s="763"/>
      <c r="T23" s="766" t="str">
        <f t="shared" si="12"/>
        <v/>
      </c>
      <c r="U23" s="767"/>
      <c r="V23" s="768" t="str">
        <f t="shared" si="16"/>
        <v/>
      </c>
      <c r="W23" s="769"/>
      <c r="X23" s="768" t="str">
        <f t="shared" si="17"/>
        <v/>
      </c>
      <c r="Y23" s="769"/>
      <c r="Z23" s="768" t="str">
        <f t="shared" si="18"/>
        <v/>
      </c>
      <c r="AA23" s="769"/>
      <c r="AB23" s="768" t="str">
        <f t="shared" si="19"/>
        <v/>
      </c>
      <c r="AC23" s="769"/>
      <c r="AD23" s="768" t="str">
        <f t="shared" si="20"/>
        <v/>
      </c>
      <c r="AE23" s="769"/>
      <c r="AF23" s="768" t="str">
        <f t="shared" si="21"/>
        <v/>
      </c>
      <c r="AG23" s="769"/>
      <c r="AH23" s="768" t="str">
        <f t="shared" si="22"/>
        <v/>
      </c>
      <c r="AI23" s="769"/>
      <c r="AJ23" s="770" t="str">
        <f t="shared" si="23"/>
        <v/>
      </c>
      <c r="AK23" s="763"/>
      <c r="AL23" s="771"/>
      <c r="AM23" s="763"/>
      <c r="AN23" s="768" t="str">
        <f t="shared" si="24"/>
        <v/>
      </c>
      <c r="AO23" s="769"/>
      <c r="AP23" s="768" t="str">
        <f t="shared" si="25"/>
        <v/>
      </c>
      <c r="AQ23" s="769"/>
      <c r="AR23" s="768" t="str">
        <f t="shared" si="26"/>
        <v/>
      </c>
      <c r="AS23" s="769"/>
      <c r="AT23" s="768" t="str">
        <f t="shared" si="27"/>
        <v/>
      </c>
      <c r="AU23" s="769"/>
      <c r="AV23" s="764" t="str">
        <f t="shared" si="28"/>
        <v/>
      </c>
      <c r="AW23" s="729"/>
      <c r="AX23" s="730"/>
      <c r="AY23" s="731"/>
      <c r="AZ23" s="731"/>
      <c r="BA23" s="731"/>
      <c r="BB23" s="731"/>
      <c r="BC23" s="733"/>
      <c r="BD23" s="734"/>
      <c r="BE23" s="734"/>
      <c r="BF23" s="734"/>
      <c r="BG23" s="734"/>
      <c r="BH23" s="734"/>
      <c r="BI23" s="734"/>
      <c r="BJ23" s="734"/>
      <c r="BK23" s="734"/>
      <c r="BL23" s="734"/>
      <c r="BM23" s="734"/>
      <c r="BN23" s="734"/>
      <c r="BO23" s="734"/>
      <c r="BP23" s="734"/>
    </row>
    <row r="24" spans="1:77" s="709" customFormat="1" x14ac:dyDescent="0.3">
      <c r="B24" s="664"/>
      <c r="C24" s="754"/>
      <c r="D24" s="755" t="str">
        <f t="shared" si="4"/>
        <v/>
      </c>
      <c r="E24" s="756" t="str">
        <f t="shared" si="5"/>
        <v/>
      </c>
      <c r="F24" s="757" t="str">
        <f t="shared" si="6"/>
        <v/>
      </c>
      <c r="G24" s="758" t="str">
        <f t="shared" si="13"/>
        <v/>
      </c>
      <c r="H24" s="758" t="str">
        <f t="shared" si="14"/>
        <v/>
      </c>
      <c r="I24" s="756" t="str">
        <f t="shared" si="7"/>
        <v/>
      </c>
      <c r="J24" s="759" t="str">
        <f t="shared" si="8"/>
        <v/>
      </c>
      <c r="K24" s="755" t="str">
        <f t="shared" si="9"/>
        <v/>
      </c>
      <c r="L24" s="758" t="str">
        <f t="shared" si="10"/>
        <v/>
      </c>
      <c r="M24" s="760" t="str">
        <f t="shared" si="11"/>
        <v/>
      </c>
      <c r="N24" s="761"/>
      <c r="O24" s="762"/>
      <c r="P24" s="763"/>
      <c r="Q24" s="764" t="str">
        <f t="shared" si="15"/>
        <v/>
      </c>
      <c r="R24" s="765"/>
      <c r="S24" s="763"/>
      <c r="T24" s="766" t="str">
        <f t="shared" si="12"/>
        <v/>
      </c>
      <c r="U24" s="767"/>
      <c r="V24" s="768" t="str">
        <f t="shared" si="16"/>
        <v/>
      </c>
      <c r="W24" s="769"/>
      <c r="X24" s="768" t="str">
        <f t="shared" si="17"/>
        <v/>
      </c>
      <c r="Y24" s="769"/>
      <c r="Z24" s="768" t="str">
        <f t="shared" si="18"/>
        <v/>
      </c>
      <c r="AA24" s="769"/>
      <c r="AB24" s="768" t="str">
        <f t="shared" si="19"/>
        <v/>
      </c>
      <c r="AC24" s="769"/>
      <c r="AD24" s="768" t="str">
        <f t="shared" si="20"/>
        <v/>
      </c>
      <c r="AE24" s="769"/>
      <c r="AF24" s="768" t="str">
        <f t="shared" si="21"/>
        <v/>
      </c>
      <c r="AG24" s="769"/>
      <c r="AH24" s="768" t="str">
        <f t="shared" si="22"/>
        <v/>
      </c>
      <c r="AI24" s="769"/>
      <c r="AJ24" s="770" t="str">
        <f t="shared" si="23"/>
        <v/>
      </c>
      <c r="AK24" s="763"/>
      <c r="AL24" s="771"/>
      <c r="AM24" s="763"/>
      <c r="AN24" s="768" t="str">
        <f t="shared" si="24"/>
        <v/>
      </c>
      <c r="AO24" s="769"/>
      <c r="AP24" s="768" t="str">
        <f t="shared" si="25"/>
        <v/>
      </c>
      <c r="AQ24" s="769"/>
      <c r="AR24" s="768" t="str">
        <f t="shared" si="26"/>
        <v/>
      </c>
      <c r="AS24" s="769"/>
      <c r="AT24" s="768" t="str">
        <f t="shared" si="27"/>
        <v/>
      </c>
      <c r="AU24" s="769"/>
      <c r="AV24" s="764" t="str">
        <f t="shared" si="28"/>
        <v/>
      </c>
      <c r="AW24" s="729"/>
      <c r="AX24" s="730"/>
      <c r="AY24" s="731"/>
      <c r="AZ24" s="731"/>
      <c r="BA24" s="731"/>
      <c r="BB24" s="731"/>
      <c r="BC24" s="733"/>
      <c r="BD24" s="734"/>
      <c r="BE24" s="734"/>
      <c r="BF24" s="734"/>
      <c r="BG24" s="734"/>
      <c r="BH24" s="734"/>
      <c r="BI24" s="734"/>
      <c r="BJ24" s="734"/>
      <c r="BK24" s="734"/>
      <c r="BL24" s="734"/>
      <c r="BM24" s="734"/>
      <c r="BN24" s="734"/>
      <c r="BO24" s="734"/>
      <c r="BP24" s="734"/>
    </row>
    <row r="25" spans="1:77" s="709" customFormat="1" x14ac:dyDescent="0.3">
      <c r="B25" s="664"/>
      <c r="C25" s="754"/>
      <c r="D25" s="755" t="str">
        <f t="shared" si="4"/>
        <v/>
      </c>
      <c r="E25" s="756" t="str">
        <f t="shared" si="5"/>
        <v/>
      </c>
      <c r="F25" s="757" t="str">
        <f t="shared" si="6"/>
        <v/>
      </c>
      <c r="G25" s="758" t="str">
        <f t="shared" si="13"/>
        <v/>
      </c>
      <c r="H25" s="758" t="str">
        <f t="shared" si="14"/>
        <v/>
      </c>
      <c r="I25" s="756" t="str">
        <f t="shared" si="7"/>
        <v/>
      </c>
      <c r="J25" s="759" t="str">
        <f t="shared" si="8"/>
        <v/>
      </c>
      <c r="K25" s="755" t="str">
        <f t="shared" si="9"/>
        <v/>
      </c>
      <c r="L25" s="758" t="str">
        <f t="shared" si="10"/>
        <v/>
      </c>
      <c r="M25" s="760" t="str">
        <f t="shared" si="11"/>
        <v/>
      </c>
      <c r="N25" s="761"/>
      <c r="O25" s="762"/>
      <c r="P25" s="763"/>
      <c r="Q25" s="764" t="str">
        <f t="shared" si="15"/>
        <v/>
      </c>
      <c r="R25" s="765"/>
      <c r="S25" s="763"/>
      <c r="T25" s="766" t="str">
        <f t="shared" si="12"/>
        <v/>
      </c>
      <c r="U25" s="767"/>
      <c r="V25" s="768" t="str">
        <f t="shared" si="16"/>
        <v/>
      </c>
      <c r="W25" s="769"/>
      <c r="X25" s="768" t="str">
        <f t="shared" si="17"/>
        <v/>
      </c>
      <c r="Y25" s="769"/>
      <c r="Z25" s="768" t="str">
        <f t="shared" si="18"/>
        <v/>
      </c>
      <c r="AA25" s="769"/>
      <c r="AB25" s="768" t="str">
        <f t="shared" si="19"/>
        <v/>
      </c>
      <c r="AC25" s="769"/>
      <c r="AD25" s="768" t="str">
        <f t="shared" si="20"/>
        <v/>
      </c>
      <c r="AE25" s="769"/>
      <c r="AF25" s="768" t="str">
        <f t="shared" si="21"/>
        <v/>
      </c>
      <c r="AG25" s="769"/>
      <c r="AH25" s="768" t="str">
        <f t="shared" si="22"/>
        <v/>
      </c>
      <c r="AI25" s="769"/>
      <c r="AJ25" s="770" t="str">
        <f t="shared" si="23"/>
        <v/>
      </c>
      <c r="AK25" s="763"/>
      <c r="AL25" s="771"/>
      <c r="AM25" s="763"/>
      <c r="AN25" s="768" t="str">
        <f t="shared" si="24"/>
        <v/>
      </c>
      <c r="AO25" s="769"/>
      <c r="AP25" s="768" t="str">
        <f t="shared" si="25"/>
        <v/>
      </c>
      <c r="AQ25" s="769"/>
      <c r="AR25" s="768" t="str">
        <f t="shared" si="26"/>
        <v/>
      </c>
      <c r="AS25" s="769"/>
      <c r="AT25" s="768" t="str">
        <f t="shared" si="27"/>
        <v/>
      </c>
      <c r="AU25" s="769"/>
      <c r="AV25" s="764" t="str">
        <f t="shared" si="28"/>
        <v/>
      </c>
      <c r="AW25" s="729"/>
      <c r="AX25" s="730"/>
      <c r="AY25" s="731"/>
      <c r="AZ25" s="731"/>
      <c r="BA25" s="731"/>
      <c r="BB25" s="731"/>
      <c r="BC25" s="733"/>
      <c r="BD25" s="734"/>
      <c r="BE25" s="734"/>
      <c r="BF25" s="734"/>
      <c r="BG25" s="734"/>
      <c r="BH25" s="734"/>
      <c r="BI25" s="734"/>
      <c r="BJ25" s="734"/>
      <c r="BK25" s="734"/>
      <c r="BL25" s="734"/>
      <c r="BM25" s="734"/>
      <c r="BN25" s="734"/>
      <c r="BO25" s="734"/>
      <c r="BP25" s="734"/>
    </row>
    <row r="26" spans="1:77" s="709" customFormat="1" x14ac:dyDescent="0.3">
      <c r="B26" s="664"/>
      <c r="C26" s="754"/>
      <c r="D26" s="755" t="str">
        <f t="shared" si="4"/>
        <v/>
      </c>
      <c r="E26" s="756" t="str">
        <f t="shared" si="5"/>
        <v/>
      </c>
      <c r="F26" s="757" t="str">
        <f t="shared" si="6"/>
        <v/>
      </c>
      <c r="G26" s="758" t="str">
        <f t="shared" si="13"/>
        <v/>
      </c>
      <c r="H26" s="758" t="str">
        <f t="shared" si="14"/>
        <v/>
      </c>
      <c r="I26" s="756" t="str">
        <f t="shared" si="7"/>
        <v/>
      </c>
      <c r="J26" s="759" t="str">
        <f t="shared" si="8"/>
        <v/>
      </c>
      <c r="K26" s="755" t="str">
        <f t="shared" si="9"/>
        <v/>
      </c>
      <c r="L26" s="758" t="str">
        <f t="shared" si="10"/>
        <v/>
      </c>
      <c r="M26" s="760" t="str">
        <f t="shared" si="11"/>
        <v/>
      </c>
      <c r="N26" s="761"/>
      <c r="O26" s="762"/>
      <c r="P26" s="763"/>
      <c r="Q26" s="764" t="str">
        <f t="shared" si="15"/>
        <v/>
      </c>
      <c r="R26" s="765"/>
      <c r="S26" s="763"/>
      <c r="T26" s="766" t="str">
        <f t="shared" si="12"/>
        <v/>
      </c>
      <c r="U26" s="767"/>
      <c r="V26" s="768" t="str">
        <f t="shared" si="16"/>
        <v/>
      </c>
      <c r="W26" s="769"/>
      <c r="X26" s="768" t="str">
        <f t="shared" si="17"/>
        <v/>
      </c>
      <c r="Y26" s="769"/>
      <c r="Z26" s="768" t="str">
        <f t="shared" si="18"/>
        <v/>
      </c>
      <c r="AA26" s="769"/>
      <c r="AB26" s="768" t="str">
        <f t="shared" si="19"/>
        <v/>
      </c>
      <c r="AC26" s="769"/>
      <c r="AD26" s="768" t="str">
        <f t="shared" si="20"/>
        <v/>
      </c>
      <c r="AE26" s="769"/>
      <c r="AF26" s="768" t="str">
        <f t="shared" si="21"/>
        <v/>
      </c>
      <c r="AG26" s="769"/>
      <c r="AH26" s="768" t="str">
        <f t="shared" si="22"/>
        <v/>
      </c>
      <c r="AI26" s="769"/>
      <c r="AJ26" s="770" t="str">
        <f t="shared" si="23"/>
        <v/>
      </c>
      <c r="AK26" s="763"/>
      <c r="AL26" s="771"/>
      <c r="AM26" s="763"/>
      <c r="AN26" s="768" t="str">
        <f t="shared" si="24"/>
        <v/>
      </c>
      <c r="AO26" s="769"/>
      <c r="AP26" s="768" t="str">
        <f t="shared" si="25"/>
        <v/>
      </c>
      <c r="AQ26" s="769"/>
      <c r="AR26" s="768" t="str">
        <f t="shared" si="26"/>
        <v/>
      </c>
      <c r="AS26" s="769"/>
      <c r="AT26" s="768" t="str">
        <f t="shared" si="27"/>
        <v/>
      </c>
      <c r="AU26" s="769"/>
      <c r="AV26" s="764" t="str">
        <f t="shared" si="28"/>
        <v/>
      </c>
      <c r="AW26" s="729"/>
      <c r="AX26" s="730"/>
      <c r="AY26" s="731"/>
      <c r="AZ26" s="731"/>
      <c r="BA26" s="731"/>
      <c r="BB26" s="731"/>
      <c r="BC26" s="733"/>
      <c r="BD26" s="734"/>
      <c r="BE26" s="734"/>
      <c r="BF26" s="734"/>
      <c r="BG26" s="734"/>
      <c r="BH26" s="734"/>
      <c r="BI26" s="734"/>
      <c r="BJ26" s="734"/>
      <c r="BK26" s="734"/>
      <c r="BL26" s="734"/>
      <c r="BM26" s="734"/>
      <c r="BN26" s="734"/>
      <c r="BO26" s="734"/>
      <c r="BP26" s="734"/>
    </row>
    <row r="27" spans="1:77" s="709" customFormat="1" x14ac:dyDescent="0.3">
      <c r="B27" s="664"/>
      <c r="C27" s="754"/>
      <c r="D27" s="755" t="str">
        <f t="shared" si="4"/>
        <v/>
      </c>
      <c r="E27" s="756" t="str">
        <f t="shared" si="5"/>
        <v/>
      </c>
      <c r="F27" s="757" t="str">
        <f t="shared" si="6"/>
        <v/>
      </c>
      <c r="G27" s="758" t="str">
        <f t="shared" si="13"/>
        <v/>
      </c>
      <c r="H27" s="758" t="str">
        <f t="shared" si="14"/>
        <v/>
      </c>
      <c r="I27" s="756" t="str">
        <f t="shared" si="7"/>
        <v/>
      </c>
      <c r="J27" s="759" t="str">
        <f t="shared" si="8"/>
        <v/>
      </c>
      <c r="K27" s="755" t="str">
        <f t="shared" si="9"/>
        <v/>
      </c>
      <c r="L27" s="758" t="str">
        <f t="shared" si="10"/>
        <v/>
      </c>
      <c r="M27" s="760" t="str">
        <f t="shared" si="11"/>
        <v/>
      </c>
      <c r="N27" s="761"/>
      <c r="O27" s="762"/>
      <c r="P27" s="763"/>
      <c r="Q27" s="764" t="str">
        <f t="shared" si="15"/>
        <v/>
      </c>
      <c r="R27" s="765"/>
      <c r="S27" s="763"/>
      <c r="T27" s="766" t="str">
        <f t="shared" si="12"/>
        <v/>
      </c>
      <c r="U27" s="767"/>
      <c r="V27" s="768" t="str">
        <f t="shared" si="16"/>
        <v/>
      </c>
      <c r="W27" s="769"/>
      <c r="X27" s="768" t="str">
        <f t="shared" si="17"/>
        <v/>
      </c>
      <c r="Y27" s="769"/>
      <c r="Z27" s="768" t="str">
        <f t="shared" si="18"/>
        <v/>
      </c>
      <c r="AA27" s="769"/>
      <c r="AB27" s="768" t="str">
        <f t="shared" si="19"/>
        <v/>
      </c>
      <c r="AC27" s="769"/>
      <c r="AD27" s="768" t="str">
        <f t="shared" si="20"/>
        <v/>
      </c>
      <c r="AE27" s="769"/>
      <c r="AF27" s="768" t="str">
        <f t="shared" si="21"/>
        <v/>
      </c>
      <c r="AG27" s="769"/>
      <c r="AH27" s="768" t="str">
        <f t="shared" si="22"/>
        <v/>
      </c>
      <c r="AI27" s="769"/>
      <c r="AJ27" s="770" t="str">
        <f t="shared" si="23"/>
        <v/>
      </c>
      <c r="AK27" s="763"/>
      <c r="AL27" s="771"/>
      <c r="AM27" s="763"/>
      <c r="AN27" s="768" t="str">
        <f t="shared" si="24"/>
        <v/>
      </c>
      <c r="AO27" s="769"/>
      <c r="AP27" s="768" t="str">
        <f t="shared" si="25"/>
        <v/>
      </c>
      <c r="AQ27" s="769"/>
      <c r="AR27" s="768" t="str">
        <f t="shared" si="26"/>
        <v/>
      </c>
      <c r="AS27" s="769"/>
      <c r="AT27" s="768" t="str">
        <f t="shared" si="27"/>
        <v/>
      </c>
      <c r="AU27" s="769"/>
      <c r="AV27" s="764" t="str">
        <f t="shared" si="28"/>
        <v/>
      </c>
      <c r="AW27" s="729"/>
      <c r="AX27" s="730"/>
      <c r="AY27" s="731"/>
      <c r="AZ27" s="731"/>
      <c r="BA27" s="731"/>
      <c r="BB27" s="731"/>
      <c r="BC27" s="733"/>
      <c r="BD27" s="734"/>
      <c r="BE27" s="734"/>
      <c r="BF27" s="734"/>
      <c r="BG27" s="734"/>
      <c r="BH27" s="734"/>
      <c r="BI27" s="734"/>
      <c r="BJ27" s="734"/>
      <c r="BK27" s="734"/>
      <c r="BL27" s="734"/>
      <c r="BM27" s="734"/>
      <c r="BN27" s="734"/>
      <c r="BO27" s="734"/>
      <c r="BP27" s="734"/>
    </row>
    <row r="28" spans="1:77" s="709" customFormat="1" x14ac:dyDescent="0.3">
      <c r="B28" s="664"/>
      <c r="C28" s="754"/>
      <c r="D28" s="755" t="str">
        <f t="shared" si="4"/>
        <v/>
      </c>
      <c r="E28" s="756" t="str">
        <f t="shared" si="5"/>
        <v/>
      </c>
      <c r="F28" s="757" t="str">
        <f t="shared" si="6"/>
        <v/>
      </c>
      <c r="G28" s="758" t="str">
        <f t="shared" si="13"/>
        <v/>
      </c>
      <c r="H28" s="758" t="str">
        <f t="shared" si="14"/>
        <v/>
      </c>
      <c r="I28" s="756" t="str">
        <f t="shared" si="7"/>
        <v/>
      </c>
      <c r="J28" s="759" t="str">
        <f t="shared" si="8"/>
        <v/>
      </c>
      <c r="K28" s="755" t="str">
        <f t="shared" si="9"/>
        <v/>
      </c>
      <c r="L28" s="758" t="str">
        <f t="shared" si="10"/>
        <v/>
      </c>
      <c r="M28" s="760" t="str">
        <f t="shared" si="11"/>
        <v/>
      </c>
      <c r="N28" s="761"/>
      <c r="O28" s="772"/>
      <c r="P28" s="763"/>
      <c r="Q28" s="764" t="str">
        <f t="shared" si="15"/>
        <v/>
      </c>
      <c r="R28" s="765"/>
      <c r="S28" s="763"/>
      <c r="T28" s="766" t="str">
        <f t="shared" si="12"/>
        <v/>
      </c>
      <c r="U28" s="767"/>
      <c r="V28" s="768" t="str">
        <f t="shared" si="16"/>
        <v/>
      </c>
      <c r="W28" s="769"/>
      <c r="X28" s="768" t="str">
        <f t="shared" si="17"/>
        <v/>
      </c>
      <c r="Y28" s="769"/>
      <c r="Z28" s="768" t="str">
        <f t="shared" si="18"/>
        <v/>
      </c>
      <c r="AA28" s="769"/>
      <c r="AB28" s="768" t="str">
        <f t="shared" si="19"/>
        <v/>
      </c>
      <c r="AC28" s="769"/>
      <c r="AD28" s="768" t="str">
        <f t="shared" si="20"/>
        <v/>
      </c>
      <c r="AE28" s="769"/>
      <c r="AF28" s="768" t="str">
        <f t="shared" si="21"/>
        <v/>
      </c>
      <c r="AG28" s="769"/>
      <c r="AH28" s="768" t="str">
        <f t="shared" si="22"/>
        <v/>
      </c>
      <c r="AI28" s="769"/>
      <c r="AJ28" s="770" t="str">
        <f t="shared" si="23"/>
        <v/>
      </c>
      <c r="AK28" s="763"/>
      <c r="AL28" s="771"/>
      <c r="AM28" s="763"/>
      <c r="AN28" s="768" t="str">
        <f t="shared" si="24"/>
        <v/>
      </c>
      <c r="AO28" s="769"/>
      <c r="AP28" s="768" t="str">
        <f t="shared" si="25"/>
        <v/>
      </c>
      <c r="AQ28" s="769"/>
      <c r="AR28" s="768" t="str">
        <f t="shared" si="26"/>
        <v/>
      </c>
      <c r="AS28" s="769"/>
      <c r="AT28" s="768" t="str">
        <f t="shared" si="27"/>
        <v/>
      </c>
      <c r="AU28" s="769"/>
      <c r="AV28" s="764" t="str">
        <f t="shared" si="28"/>
        <v/>
      </c>
      <c r="AW28" s="729"/>
      <c r="AX28" s="730"/>
      <c r="AY28" s="731"/>
      <c r="AZ28" s="731"/>
      <c r="BA28" s="731"/>
      <c r="BB28" s="731"/>
      <c r="BC28" s="733"/>
      <c r="BD28" s="734"/>
      <c r="BE28" s="734"/>
      <c r="BF28" s="734"/>
      <c r="BG28" s="734"/>
      <c r="BH28" s="734"/>
      <c r="BI28" s="734"/>
      <c r="BJ28" s="734"/>
      <c r="BK28" s="734"/>
      <c r="BL28" s="734"/>
      <c r="BM28" s="734"/>
      <c r="BN28" s="734"/>
      <c r="BO28" s="734"/>
      <c r="BP28" s="734"/>
    </row>
    <row r="29" spans="1:77" s="709" customFormat="1" x14ac:dyDescent="0.3">
      <c r="B29" s="664"/>
      <c r="C29" s="754"/>
      <c r="D29" s="755" t="str">
        <f t="shared" si="4"/>
        <v/>
      </c>
      <c r="E29" s="756" t="str">
        <f t="shared" si="5"/>
        <v/>
      </c>
      <c r="F29" s="757" t="str">
        <f t="shared" si="6"/>
        <v/>
      </c>
      <c r="G29" s="758" t="str">
        <f t="shared" si="13"/>
        <v/>
      </c>
      <c r="H29" s="758" t="str">
        <f t="shared" si="14"/>
        <v/>
      </c>
      <c r="I29" s="756" t="str">
        <f t="shared" si="7"/>
        <v/>
      </c>
      <c r="J29" s="759" t="str">
        <f t="shared" si="8"/>
        <v/>
      </c>
      <c r="K29" s="755" t="str">
        <f t="shared" si="9"/>
        <v/>
      </c>
      <c r="L29" s="758" t="str">
        <f t="shared" si="10"/>
        <v/>
      </c>
      <c r="M29" s="760" t="str">
        <f t="shared" si="11"/>
        <v/>
      </c>
      <c r="N29" s="761"/>
      <c r="O29" s="772"/>
      <c r="P29" s="763"/>
      <c r="Q29" s="764" t="str">
        <f t="shared" si="15"/>
        <v/>
      </c>
      <c r="R29" s="765"/>
      <c r="S29" s="763"/>
      <c r="T29" s="766" t="str">
        <f t="shared" si="12"/>
        <v/>
      </c>
      <c r="U29" s="767"/>
      <c r="V29" s="768" t="str">
        <f t="shared" si="16"/>
        <v/>
      </c>
      <c r="W29" s="769"/>
      <c r="X29" s="768" t="str">
        <f t="shared" si="17"/>
        <v/>
      </c>
      <c r="Y29" s="769"/>
      <c r="Z29" s="768" t="str">
        <f t="shared" si="18"/>
        <v/>
      </c>
      <c r="AA29" s="769"/>
      <c r="AB29" s="768" t="str">
        <f t="shared" si="19"/>
        <v/>
      </c>
      <c r="AC29" s="769"/>
      <c r="AD29" s="768" t="str">
        <f t="shared" si="20"/>
        <v/>
      </c>
      <c r="AE29" s="769"/>
      <c r="AF29" s="768" t="str">
        <f t="shared" si="21"/>
        <v/>
      </c>
      <c r="AG29" s="769"/>
      <c r="AH29" s="768" t="str">
        <f t="shared" si="22"/>
        <v/>
      </c>
      <c r="AI29" s="769"/>
      <c r="AJ29" s="770" t="str">
        <f t="shared" si="23"/>
        <v/>
      </c>
      <c r="AK29" s="763"/>
      <c r="AL29" s="771"/>
      <c r="AM29" s="763"/>
      <c r="AN29" s="768" t="str">
        <f t="shared" si="24"/>
        <v/>
      </c>
      <c r="AO29" s="769"/>
      <c r="AP29" s="768" t="str">
        <f t="shared" si="25"/>
        <v/>
      </c>
      <c r="AQ29" s="769"/>
      <c r="AR29" s="768" t="str">
        <f t="shared" si="26"/>
        <v/>
      </c>
      <c r="AS29" s="769"/>
      <c r="AT29" s="768" t="str">
        <f t="shared" si="27"/>
        <v/>
      </c>
      <c r="AU29" s="769"/>
      <c r="AV29" s="764" t="str">
        <f t="shared" si="28"/>
        <v/>
      </c>
      <c r="AW29" s="729"/>
      <c r="AX29" s="730"/>
      <c r="AY29" s="731"/>
      <c r="AZ29" s="731"/>
      <c r="BA29" s="731"/>
      <c r="BB29" s="731"/>
      <c r="BC29" s="733"/>
      <c r="BD29" s="734"/>
      <c r="BE29" s="734"/>
      <c r="BF29" s="734"/>
      <c r="BG29" s="734"/>
      <c r="BH29" s="734"/>
      <c r="BI29" s="734"/>
      <c r="BJ29" s="734"/>
      <c r="BK29" s="734"/>
      <c r="BL29" s="734"/>
      <c r="BM29" s="734"/>
      <c r="BN29" s="734"/>
      <c r="BO29" s="734"/>
      <c r="BP29" s="734"/>
    </row>
    <row r="30" spans="1:77" s="709" customFormat="1" x14ac:dyDescent="0.3">
      <c r="B30" s="664"/>
      <c r="C30" s="773"/>
      <c r="D30" s="755" t="str">
        <f t="shared" si="4"/>
        <v/>
      </c>
      <c r="E30" s="756" t="str">
        <f t="shared" si="5"/>
        <v/>
      </c>
      <c r="F30" s="757" t="str">
        <f t="shared" si="6"/>
        <v/>
      </c>
      <c r="G30" s="758" t="str">
        <f t="shared" si="13"/>
        <v/>
      </c>
      <c r="H30" s="758" t="str">
        <f t="shared" si="14"/>
        <v/>
      </c>
      <c r="I30" s="756" t="str">
        <f t="shared" si="7"/>
        <v/>
      </c>
      <c r="J30" s="759" t="str">
        <f t="shared" si="8"/>
        <v/>
      </c>
      <c r="K30" s="755" t="str">
        <f t="shared" si="9"/>
        <v/>
      </c>
      <c r="L30" s="758" t="str">
        <f t="shared" si="10"/>
        <v/>
      </c>
      <c r="M30" s="760" t="str">
        <f t="shared" si="11"/>
        <v/>
      </c>
      <c r="N30" s="761"/>
      <c r="O30" s="772"/>
      <c r="P30" s="763"/>
      <c r="Q30" s="764" t="str">
        <f t="shared" si="15"/>
        <v/>
      </c>
      <c r="R30" s="765"/>
      <c r="S30" s="763"/>
      <c r="T30" s="766" t="str">
        <f t="shared" si="12"/>
        <v/>
      </c>
      <c r="U30" s="767"/>
      <c r="V30" s="768" t="str">
        <f t="shared" si="16"/>
        <v/>
      </c>
      <c r="W30" s="769"/>
      <c r="X30" s="768" t="str">
        <f t="shared" si="17"/>
        <v/>
      </c>
      <c r="Y30" s="769"/>
      <c r="Z30" s="768" t="str">
        <f t="shared" si="18"/>
        <v/>
      </c>
      <c r="AA30" s="769"/>
      <c r="AB30" s="768" t="str">
        <f t="shared" si="19"/>
        <v/>
      </c>
      <c r="AC30" s="769"/>
      <c r="AD30" s="768" t="str">
        <f t="shared" si="20"/>
        <v/>
      </c>
      <c r="AE30" s="769"/>
      <c r="AF30" s="768" t="str">
        <f t="shared" si="21"/>
        <v/>
      </c>
      <c r="AG30" s="769"/>
      <c r="AH30" s="768" t="str">
        <f t="shared" si="22"/>
        <v/>
      </c>
      <c r="AI30" s="769"/>
      <c r="AJ30" s="770" t="str">
        <f t="shared" si="23"/>
        <v/>
      </c>
      <c r="AK30" s="763"/>
      <c r="AL30" s="771"/>
      <c r="AM30" s="763"/>
      <c r="AN30" s="768" t="str">
        <f t="shared" si="24"/>
        <v/>
      </c>
      <c r="AO30" s="769"/>
      <c r="AP30" s="768" t="str">
        <f t="shared" si="25"/>
        <v/>
      </c>
      <c r="AQ30" s="769"/>
      <c r="AR30" s="768" t="str">
        <f t="shared" si="26"/>
        <v/>
      </c>
      <c r="AS30" s="769"/>
      <c r="AT30" s="768" t="str">
        <f t="shared" si="27"/>
        <v/>
      </c>
      <c r="AU30" s="769"/>
      <c r="AV30" s="764" t="str">
        <f t="shared" si="28"/>
        <v/>
      </c>
      <c r="AW30" s="729"/>
      <c r="AX30" s="730"/>
      <c r="AY30" s="731"/>
      <c r="AZ30" s="731"/>
      <c r="BA30" s="731"/>
      <c r="BB30" s="731"/>
      <c r="BC30" s="733"/>
      <c r="BD30" s="734"/>
      <c r="BE30" s="734"/>
      <c r="BF30" s="734"/>
      <c r="BG30" s="734"/>
      <c r="BH30" s="734"/>
      <c r="BI30" s="734"/>
      <c r="BJ30" s="734"/>
      <c r="BK30" s="734"/>
      <c r="BL30" s="734"/>
      <c r="BM30" s="734"/>
      <c r="BN30" s="734"/>
      <c r="BO30" s="734"/>
      <c r="BP30" s="734"/>
    </row>
    <row r="31" spans="1:77" s="709" customFormat="1" x14ac:dyDescent="0.3">
      <c r="B31" s="664"/>
      <c r="C31" s="754"/>
      <c r="D31" s="755" t="str">
        <f t="shared" si="4"/>
        <v/>
      </c>
      <c r="E31" s="756" t="str">
        <f t="shared" si="5"/>
        <v/>
      </c>
      <c r="F31" s="757" t="str">
        <f t="shared" si="6"/>
        <v/>
      </c>
      <c r="G31" s="758" t="str">
        <f t="shared" si="13"/>
        <v/>
      </c>
      <c r="H31" s="758" t="str">
        <f t="shared" si="14"/>
        <v/>
      </c>
      <c r="I31" s="756" t="str">
        <f t="shared" si="7"/>
        <v/>
      </c>
      <c r="J31" s="759" t="str">
        <f t="shared" si="8"/>
        <v/>
      </c>
      <c r="K31" s="755" t="str">
        <f t="shared" si="9"/>
        <v/>
      </c>
      <c r="L31" s="758" t="str">
        <f t="shared" si="10"/>
        <v/>
      </c>
      <c r="M31" s="760" t="str">
        <f t="shared" si="11"/>
        <v/>
      </c>
      <c r="N31" s="761"/>
      <c r="O31" s="772"/>
      <c r="P31" s="763"/>
      <c r="Q31" s="764" t="str">
        <f t="shared" si="15"/>
        <v/>
      </c>
      <c r="R31" s="765"/>
      <c r="S31" s="763"/>
      <c r="T31" s="766" t="str">
        <f t="shared" si="12"/>
        <v/>
      </c>
      <c r="U31" s="767"/>
      <c r="V31" s="768" t="str">
        <f t="shared" si="16"/>
        <v/>
      </c>
      <c r="W31" s="769"/>
      <c r="X31" s="768" t="str">
        <f t="shared" si="17"/>
        <v/>
      </c>
      <c r="Y31" s="769"/>
      <c r="Z31" s="768" t="str">
        <f t="shared" si="18"/>
        <v/>
      </c>
      <c r="AA31" s="769"/>
      <c r="AB31" s="768" t="str">
        <f t="shared" si="19"/>
        <v/>
      </c>
      <c r="AC31" s="769"/>
      <c r="AD31" s="768" t="str">
        <f t="shared" si="20"/>
        <v/>
      </c>
      <c r="AE31" s="769"/>
      <c r="AF31" s="768" t="str">
        <f t="shared" si="21"/>
        <v/>
      </c>
      <c r="AG31" s="769"/>
      <c r="AH31" s="768" t="str">
        <f t="shared" si="22"/>
        <v/>
      </c>
      <c r="AI31" s="769"/>
      <c r="AJ31" s="770" t="str">
        <f t="shared" si="23"/>
        <v/>
      </c>
      <c r="AK31" s="763"/>
      <c r="AL31" s="771"/>
      <c r="AM31" s="763"/>
      <c r="AN31" s="768" t="str">
        <f t="shared" si="24"/>
        <v/>
      </c>
      <c r="AO31" s="769"/>
      <c r="AP31" s="768" t="str">
        <f t="shared" si="25"/>
        <v/>
      </c>
      <c r="AQ31" s="769"/>
      <c r="AR31" s="768" t="str">
        <f t="shared" si="26"/>
        <v/>
      </c>
      <c r="AS31" s="769"/>
      <c r="AT31" s="768" t="str">
        <f t="shared" si="27"/>
        <v/>
      </c>
      <c r="AU31" s="769"/>
      <c r="AV31" s="764" t="str">
        <f t="shared" si="28"/>
        <v/>
      </c>
      <c r="AW31" s="729"/>
      <c r="AX31" s="730"/>
      <c r="AY31" s="731"/>
      <c r="AZ31" s="731"/>
      <c r="BA31" s="731"/>
      <c r="BB31" s="731"/>
      <c r="BC31" s="733"/>
      <c r="BD31" s="734"/>
      <c r="BE31" s="734"/>
      <c r="BF31" s="734"/>
      <c r="BG31" s="734"/>
      <c r="BH31" s="734"/>
      <c r="BI31" s="734"/>
      <c r="BJ31" s="734"/>
      <c r="BK31" s="734"/>
      <c r="BL31" s="734"/>
      <c r="BM31" s="734"/>
      <c r="BN31" s="734"/>
      <c r="BO31" s="734"/>
      <c r="BP31" s="734"/>
    </row>
    <row r="32" spans="1:77" s="709" customFormat="1" x14ac:dyDescent="0.3">
      <c r="B32" s="664"/>
      <c r="C32" s="754"/>
      <c r="D32" s="755" t="str">
        <f t="shared" si="4"/>
        <v/>
      </c>
      <c r="E32" s="756" t="str">
        <f t="shared" si="5"/>
        <v/>
      </c>
      <c r="F32" s="757" t="str">
        <f t="shared" si="6"/>
        <v/>
      </c>
      <c r="G32" s="758" t="str">
        <f t="shared" si="13"/>
        <v/>
      </c>
      <c r="H32" s="758" t="str">
        <f t="shared" si="14"/>
        <v/>
      </c>
      <c r="I32" s="756" t="str">
        <f t="shared" si="7"/>
        <v/>
      </c>
      <c r="J32" s="759" t="str">
        <f t="shared" si="8"/>
        <v/>
      </c>
      <c r="K32" s="755" t="str">
        <f t="shared" si="9"/>
        <v/>
      </c>
      <c r="L32" s="758" t="str">
        <f t="shared" si="10"/>
        <v/>
      </c>
      <c r="M32" s="760" t="str">
        <f t="shared" si="11"/>
        <v/>
      </c>
      <c r="N32" s="761"/>
      <c r="O32" s="772"/>
      <c r="P32" s="763"/>
      <c r="Q32" s="764" t="str">
        <f t="shared" si="15"/>
        <v/>
      </c>
      <c r="R32" s="765"/>
      <c r="S32" s="763"/>
      <c r="T32" s="766" t="str">
        <f t="shared" si="12"/>
        <v/>
      </c>
      <c r="U32" s="767"/>
      <c r="V32" s="768" t="str">
        <f t="shared" si="16"/>
        <v/>
      </c>
      <c r="W32" s="769"/>
      <c r="X32" s="768" t="str">
        <f t="shared" si="17"/>
        <v/>
      </c>
      <c r="Y32" s="769"/>
      <c r="Z32" s="768" t="str">
        <f t="shared" si="18"/>
        <v/>
      </c>
      <c r="AA32" s="769"/>
      <c r="AB32" s="768" t="str">
        <f t="shared" si="19"/>
        <v/>
      </c>
      <c r="AC32" s="769"/>
      <c r="AD32" s="768" t="str">
        <f t="shared" si="20"/>
        <v/>
      </c>
      <c r="AE32" s="769"/>
      <c r="AF32" s="768" t="str">
        <f t="shared" si="21"/>
        <v/>
      </c>
      <c r="AG32" s="769"/>
      <c r="AH32" s="768" t="str">
        <f t="shared" si="22"/>
        <v/>
      </c>
      <c r="AI32" s="769"/>
      <c r="AJ32" s="770" t="str">
        <f t="shared" si="23"/>
        <v/>
      </c>
      <c r="AK32" s="763"/>
      <c r="AL32" s="771"/>
      <c r="AM32" s="763"/>
      <c r="AN32" s="768" t="str">
        <f t="shared" si="24"/>
        <v/>
      </c>
      <c r="AO32" s="769"/>
      <c r="AP32" s="768" t="str">
        <f t="shared" si="25"/>
        <v/>
      </c>
      <c r="AQ32" s="769"/>
      <c r="AR32" s="768" t="str">
        <f t="shared" si="26"/>
        <v/>
      </c>
      <c r="AS32" s="769"/>
      <c r="AT32" s="768" t="str">
        <f t="shared" si="27"/>
        <v/>
      </c>
      <c r="AU32" s="769"/>
      <c r="AV32" s="764" t="str">
        <f t="shared" si="28"/>
        <v/>
      </c>
      <c r="AW32" s="729"/>
      <c r="AX32" s="730"/>
      <c r="AY32" s="731"/>
      <c r="AZ32" s="731"/>
      <c r="BA32" s="731"/>
      <c r="BB32" s="731"/>
      <c r="BC32" s="733"/>
      <c r="BD32" s="734"/>
      <c r="BE32" s="734"/>
      <c r="BF32" s="734"/>
      <c r="BG32" s="734"/>
      <c r="BH32" s="734"/>
      <c r="BI32" s="734"/>
      <c r="BJ32" s="734"/>
      <c r="BK32" s="734"/>
      <c r="BL32" s="734"/>
      <c r="BM32" s="734"/>
      <c r="BN32" s="734"/>
      <c r="BO32" s="734"/>
      <c r="BP32" s="734"/>
    </row>
    <row r="33" spans="2:68" s="709" customFormat="1" x14ac:dyDescent="0.3">
      <c r="B33" s="664"/>
      <c r="C33" s="754"/>
      <c r="D33" s="755" t="str">
        <f t="shared" si="4"/>
        <v/>
      </c>
      <c r="E33" s="756" t="str">
        <f t="shared" si="5"/>
        <v/>
      </c>
      <c r="F33" s="757" t="str">
        <f t="shared" si="6"/>
        <v/>
      </c>
      <c r="G33" s="758" t="str">
        <f t="shared" si="13"/>
        <v/>
      </c>
      <c r="H33" s="758" t="str">
        <f t="shared" si="14"/>
        <v/>
      </c>
      <c r="I33" s="756" t="str">
        <f t="shared" si="7"/>
        <v/>
      </c>
      <c r="J33" s="759" t="str">
        <f t="shared" si="8"/>
        <v/>
      </c>
      <c r="K33" s="755" t="str">
        <f t="shared" si="9"/>
        <v/>
      </c>
      <c r="L33" s="758" t="str">
        <f t="shared" si="10"/>
        <v/>
      </c>
      <c r="M33" s="760" t="str">
        <f t="shared" si="11"/>
        <v/>
      </c>
      <c r="N33" s="761"/>
      <c r="O33" s="762"/>
      <c r="P33" s="763"/>
      <c r="Q33" s="764" t="str">
        <f t="shared" si="15"/>
        <v/>
      </c>
      <c r="R33" s="765"/>
      <c r="S33" s="763"/>
      <c r="T33" s="766" t="str">
        <f t="shared" si="12"/>
        <v/>
      </c>
      <c r="U33" s="767"/>
      <c r="V33" s="768" t="str">
        <f t="shared" si="16"/>
        <v/>
      </c>
      <c r="W33" s="769"/>
      <c r="X33" s="768" t="str">
        <f t="shared" si="17"/>
        <v/>
      </c>
      <c r="Y33" s="769"/>
      <c r="Z33" s="768" t="str">
        <f t="shared" si="18"/>
        <v/>
      </c>
      <c r="AA33" s="769"/>
      <c r="AB33" s="768" t="str">
        <f t="shared" si="19"/>
        <v/>
      </c>
      <c r="AC33" s="769"/>
      <c r="AD33" s="768" t="str">
        <f t="shared" si="20"/>
        <v/>
      </c>
      <c r="AE33" s="769"/>
      <c r="AF33" s="768" t="str">
        <f t="shared" si="21"/>
        <v/>
      </c>
      <c r="AG33" s="769"/>
      <c r="AH33" s="768" t="str">
        <f t="shared" si="22"/>
        <v/>
      </c>
      <c r="AI33" s="769"/>
      <c r="AJ33" s="770" t="str">
        <f t="shared" si="23"/>
        <v/>
      </c>
      <c r="AK33" s="763"/>
      <c r="AL33" s="771"/>
      <c r="AM33" s="763"/>
      <c r="AN33" s="768" t="str">
        <f t="shared" si="24"/>
        <v/>
      </c>
      <c r="AO33" s="769"/>
      <c r="AP33" s="768" t="str">
        <f t="shared" si="25"/>
        <v/>
      </c>
      <c r="AQ33" s="769"/>
      <c r="AR33" s="768" t="str">
        <f t="shared" si="26"/>
        <v/>
      </c>
      <c r="AS33" s="769"/>
      <c r="AT33" s="768" t="str">
        <f t="shared" si="27"/>
        <v/>
      </c>
      <c r="AU33" s="769"/>
      <c r="AV33" s="764" t="str">
        <f t="shared" si="28"/>
        <v/>
      </c>
      <c r="AW33" s="729"/>
      <c r="AX33" s="730"/>
      <c r="AY33" s="731"/>
      <c r="AZ33" s="731"/>
      <c r="BA33" s="731"/>
      <c r="BB33" s="731"/>
      <c r="BC33" s="733"/>
      <c r="BD33" s="734"/>
      <c r="BE33" s="734"/>
      <c r="BF33" s="734"/>
      <c r="BG33" s="734"/>
      <c r="BH33" s="734"/>
      <c r="BI33" s="734"/>
      <c r="BJ33" s="734"/>
      <c r="BK33" s="734"/>
      <c r="BL33" s="734"/>
      <c r="BM33" s="734"/>
      <c r="BN33" s="734"/>
      <c r="BO33" s="734"/>
      <c r="BP33" s="734"/>
    </row>
    <row r="34" spans="2:68" s="709" customFormat="1" x14ac:dyDescent="0.3">
      <c r="B34" s="664"/>
      <c r="C34" s="754"/>
      <c r="D34" s="755" t="str">
        <f t="shared" si="4"/>
        <v/>
      </c>
      <c r="E34" s="756" t="str">
        <f t="shared" si="5"/>
        <v/>
      </c>
      <c r="F34" s="757" t="str">
        <f t="shared" si="6"/>
        <v/>
      </c>
      <c r="G34" s="758" t="str">
        <f t="shared" si="13"/>
        <v/>
      </c>
      <c r="H34" s="758" t="str">
        <f t="shared" si="14"/>
        <v/>
      </c>
      <c r="I34" s="756" t="str">
        <f t="shared" si="7"/>
        <v/>
      </c>
      <c r="J34" s="759" t="str">
        <f t="shared" si="8"/>
        <v/>
      </c>
      <c r="K34" s="755" t="str">
        <f t="shared" si="9"/>
        <v/>
      </c>
      <c r="L34" s="758" t="str">
        <f t="shared" si="10"/>
        <v/>
      </c>
      <c r="M34" s="760" t="str">
        <f t="shared" si="11"/>
        <v/>
      </c>
      <c r="N34" s="761"/>
      <c r="O34" s="772"/>
      <c r="P34" s="763"/>
      <c r="Q34" s="764" t="str">
        <f t="shared" si="15"/>
        <v/>
      </c>
      <c r="R34" s="765"/>
      <c r="S34" s="763"/>
      <c r="T34" s="766" t="str">
        <f t="shared" si="12"/>
        <v/>
      </c>
      <c r="U34" s="767"/>
      <c r="V34" s="768" t="str">
        <f t="shared" si="16"/>
        <v/>
      </c>
      <c r="W34" s="769"/>
      <c r="X34" s="768" t="str">
        <f t="shared" si="17"/>
        <v/>
      </c>
      <c r="Y34" s="769"/>
      <c r="Z34" s="768" t="str">
        <f t="shared" si="18"/>
        <v/>
      </c>
      <c r="AA34" s="769"/>
      <c r="AB34" s="768" t="str">
        <f t="shared" si="19"/>
        <v/>
      </c>
      <c r="AC34" s="769"/>
      <c r="AD34" s="768" t="str">
        <f t="shared" si="20"/>
        <v/>
      </c>
      <c r="AE34" s="769"/>
      <c r="AF34" s="768" t="str">
        <f t="shared" si="21"/>
        <v/>
      </c>
      <c r="AG34" s="769"/>
      <c r="AH34" s="768" t="str">
        <f t="shared" si="22"/>
        <v/>
      </c>
      <c r="AI34" s="769"/>
      <c r="AJ34" s="770" t="str">
        <f t="shared" si="23"/>
        <v/>
      </c>
      <c r="AK34" s="763"/>
      <c r="AL34" s="771"/>
      <c r="AM34" s="763"/>
      <c r="AN34" s="768" t="str">
        <f t="shared" si="24"/>
        <v/>
      </c>
      <c r="AO34" s="769"/>
      <c r="AP34" s="768" t="str">
        <f t="shared" si="25"/>
        <v/>
      </c>
      <c r="AQ34" s="769"/>
      <c r="AR34" s="768" t="str">
        <f t="shared" si="26"/>
        <v/>
      </c>
      <c r="AS34" s="769"/>
      <c r="AT34" s="768" t="str">
        <f t="shared" si="27"/>
        <v/>
      </c>
      <c r="AU34" s="769"/>
      <c r="AV34" s="764" t="str">
        <f t="shared" si="28"/>
        <v/>
      </c>
      <c r="AW34" s="729"/>
      <c r="AX34" s="730"/>
      <c r="AY34" s="731"/>
      <c r="AZ34" s="731"/>
      <c r="BA34" s="731"/>
      <c r="BB34" s="731"/>
      <c r="BC34" s="733"/>
      <c r="BD34" s="734"/>
      <c r="BE34" s="734"/>
      <c r="BF34" s="734"/>
      <c r="BG34" s="734"/>
      <c r="BH34" s="734"/>
      <c r="BI34" s="734"/>
      <c r="BJ34" s="734"/>
      <c r="BK34" s="734"/>
      <c r="BL34" s="734"/>
      <c r="BM34" s="734"/>
      <c r="BN34" s="734"/>
      <c r="BO34" s="734"/>
      <c r="BP34" s="734"/>
    </row>
    <row r="35" spans="2:68" s="709" customFormat="1" x14ac:dyDescent="0.3">
      <c r="B35" s="664"/>
      <c r="C35" s="754"/>
      <c r="D35" s="755" t="str">
        <f t="shared" si="4"/>
        <v/>
      </c>
      <c r="E35" s="756" t="str">
        <f t="shared" si="5"/>
        <v/>
      </c>
      <c r="F35" s="757" t="str">
        <f t="shared" si="6"/>
        <v/>
      </c>
      <c r="G35" s="758" t="str">
        <f t="shared" si="13"/>
        <v/>
      </c>
      <c r="H35" s="758" t="str">
        <f t="shared" si="14"/>
        <v/>
      </c>
      <c r="I35" s="756" t="str">
        <f t="shared" si="7"/>
        <v/>
      </c>
      <c r="J35" s="759" t="str">
        <f t="shared" si="8"/>
        <v/>
      </c>
      <c r="K35" s="755" t="str">
        <f t="shared" si="9"/>
        <v/>
      </c>
      <c r="L35" s="758" t="str">
        <f t="shared" si="10"/>
        <v/>
      </c>
      <c r="M35" s="760" t="str">
        <f t="shared" si="11"/>
        <v/>
      </c>
      <c r="N35" s="761"/>
      <c r="O35" s="772"/>
      <c r="P35" s="763"/>
      <c r="Q35" s="764" t="str">
        <f t="shared" si="15"/>
        <v/>
      </c>
      <c r="R35" s="765"/>
      <c r="S35" s="763"/>
      <c r="T35" s="766" t="str">
        <f t="shared" si="12"/>
        <v/>
      </c>
      <c r="U35" s="767"/>
      <c r="V35" s="768" t="str">
        <f t="shared" si="16"/>
        <v/>
      </c>
      <c r="W35" s="769"/>
      <c r="X35" s="768" t="str">
        <f t="shared" si="17"/>
        <v/>
      </c>
      <c r="Y35" s="769"/>
      <c r="Z35" s="768" t="str">
        <f t="shared" si="18"/>
        <v/>
      </c>
      <c r="AA35" s="769"/>
      <c r="AB35" s="768" t="str">
        <f t="shared" si="19"/>
        <v/>
      </c>
      <c r="AC35" s="769"/>
      <c r="AD35" s="768" t="str">
        <f t="shared" si="20"/>
        <v/>
      </c>
      <c r="AE35" s="769"/>
      <c r="AF35" s="768" t="str">
        <f t="shared" si="21"/>
        <v/>
      </c>
      <c r="AG35" s="769"/>
      <c r="AH35" s="768" t="str">
        <f t="shared" si="22"/>
        <v/>
      </c>
      <c r="AI35" s="769"/>
      <c r="AJ35" s="770" t="str">
        <f t="shared" si="23"/>
        <v/>
      </c>
      <c r="AK35" s="763"/>
      <c r="AL35" s="771"/>
      <c r="AM35" s="763"/>
      <c r="AN35" s="768" t="str">
        <f t="shared" si="24"/>
        <v/>
      </c>
      <c r="AO35" s="769"/>
      <c r="AP35" s="768" t="str">
        <f t="shared" si="25"/>
        <v/>
      </c>
      <c r="AQ35" s="769"/>
      <c r="AR35" s="768" t="str">
        <f t="shared" si="26"/>
        <v/>
      </c>
      <c r="AS35" s="769"/>
      <c r="AT35" s="768" t="str">
        <f t="shared" si="27"/>
        <v/>
      </c>
      <c r="AU35" s="769"/>
      <c r="AV35" s="764" t="str">
        <f t="shared" si="28"/>
        <v/>
      </c>
      <c r="AW35" s="729"/>
      <c r="AX35" s="730"/>
      <c r="AY35" s="731"/>
      <c r="AZ35" s="731"/>
      <c r="BA35" s="731"/>
      <c r="BB35" s="731"/>
      <c r="BC35" s="733"/>
      <c r="BD35" s="734"/>
      <c r="BE35" s="734"/>
      <c r="BF35" s="734"/>
      <c r="BG35" s="734"/>
      <c r="BH35" s="734"/>
      <c r="BI35" s="734"/>
      <c r="BJ35" s="734"/>
      <c r="BK35" s="734"/>
      <c r="BL35" s="734"/>
      <c r="BM35" s="734"/>
      <c r="BN35" s="734"/>
      <c r="BO35" s="734"/>
      <c r="BP35" s="734"/>
    </row>
    <row r="36" spans="2:68" s="709" customFormat="1" x14ac:dyDescent="0.3">
      <c r="B36" s="664"/>
      <c r="C36" s="754"/>
      <c r="D36" s="755" t="str">
        <f t="shared" si="4"/>
        <v/>
      </c>
      <c r="E36" s="756" t="str">
        <f t="shared" si="5"/>
        <v/>
      </c>
      <c r="F36" s="757" t="str">
        <f t="shared" si="6"/>
        <v/>
      </c>
      <c r="G36" s="758" t="str">
        <f t="shared" si="13"/>
        <v/>
      </c>
      <c r="H36" s="758" t="str">
        <f t="shared" si="14"/>
        <v/>
      </c>
      <c r="I36" s="756" t="str">
        <f t="shared" si="7"/>
        <v/>
      </c>
      <c r="J36" s="759" t="str">
        <f t="shared" si="8"/>
        <v/>
      </c>
      <c r="K36" s="755" t="str">
        <f t="shared" si="9"/>
        <v/>
      </c>
      <c r="L36" s="758" t="str">
        <f t="shared" si="10"/>
        <v/>
      </c>
      <c r="M36" s="760" t="str">
        <f t="shared" si="11"/>
        <v/>
      </c>
      <c r="N36" s="761"/>
      <c r="O36" s="772"/>
      <c r="P36" s="763"/>
      <c r="Q36" s="764" t="str">
        <f t="shared" si="15"/>
        <v/>
      </c>
      <c r="R36" s="765"/>
      <c r="S36" s="763"/>
      <c r="T36" s="766" t="str">
        <f t="shared" si="12"/>
        <v/>
      </c>
      <c r="U36" s="767"/>
      <c r="V36" s="768" t="str">
        <f t="shared" si="16"/>
        <v/>
      </c>
      <c r="W36" s="769"/>
      <c r="X36" s="768" t="str">
        <f t="shared" si="17"/>
        <v/>
      </c>
      <c r="Y36" s="769"/>
      <c r="Z36" s="768" t="str">
        <f t="shared" si="18"/>
        <v/>
      </c>
      <c r="AA36" s="769"/>
      <c r="AB36" s="768" t="str">
        <f t="shared" si="19"/>
        <v/>
      </c>
      <c r="AC36" s="769"/>
      <c r="AD36" s="768" t="str">
        <f t="shared" si="20"/>
        <v/>
      </c>
      <c r="AE36" s="769"/>
      <c r="AF36" s="768" t="str">
        <f t="shared" si="21"/>
        <v/>
      </c>
      <c r="AG36" s="769"/>
      <c r="AH36" s="768" t="str">
        <f t="shared" si="22"/>
        <v/>
      </c>
      <c r="AI36" s="769"/>
      <c r="AJ36" s="770" t="str">
        <f t="shared" si="23"/>
        <v/>
      </c>
      <c r="AK36" s="763"/>
      <c r="AL36" s="771"/>
      <c r="AM36" s="763"/>
      <c r="AN36" s="768" t="str">
        <f t="shared" si="24"/>
        <v/>
      </c>
      <c r="AO36" s="769"/>
      <c r="AP36" s="768" t="str">
        <f t="shared" si="25"/>
        <v/>
      </c>
      <c r="AQ36" s="769"/>
      <c r="AR36" s="768" t="str">
        <f t="shared" si="26"/>
        <v/>
      </c>
      <c r="AS36" s="769"/>
      <c r="AT36" s="768" t="str">
        <f t="shared" si="27"/>
        <v/>
      </c>
      <c r="AU36" s="769"/>
      <c r="AV36" s="764" t="str">
        <f t="shared" si="28"/>
        <v/>
      </c>
      <c r="AW36" s="729"/>
      <c r="AX36" s="730"/>
      <c r="AY36" s="731"/>
      <c r="AZ36" s="731"/>
      <c r="BA36" s="731"/>
      <c r="BB36" s="731"/>
      <c r="BC36" s="733"/>
      <c r="BD36" s="734"/>
      <c r="BE36" s="734"/>
      <c r="BF36" s="734"/>
      <c r="BG36" s="734"/>
      <c r="BH36" s="734"/>
      <c r="BI36" s="734"/>
      <c r="BJ36" s="734"/>
      <c r="BK36" s="734"/>
      <c r="BL36" s="734"/>
      <c r="BM36" s="734"/>
      <c r="BN36" s="734"/>
      <c r="BO36" s="734"/>
      <c r="BP36" s="734"/>
    </row>
    <row r="37" spans="2:68" s="709" customFormat="1" x14ac:dyDescent="0.3">
      <c r="B37" s="664"/>
      <c r="C37" s="754"/>
      <c r="D37" s="755" t="str">
        <f t="shared" si="4"/>
        <v/>
      </c>
      <c r="E37" s="756" t="str">
        <f t="shared" si="5"/>
        <v/>
      </c>
      <c r="F37" s="757" t="str">
        <f t="shared" si="6"/>
        <v/>
      </c>
      <c r="G37" s="758" t="str">
        <f t="shared" si="13"/>
        <v/>
      </c>
      <c r="H37" s="758" t="str">
        <f t="shared" si="14"/>
        <v/>
      </c>
      <c r="I37" s="756" t="str">
        <f t="shared" si="7"/>
        <v/>
      </c>
      <c r="J37" s="759" t="str">
        <f t="shared" si="8"/>
        <v/>
      </c>
      <c r="K37" s="755" t="str">
        <f t="shared" si="9"/>
        <v/>
      </c>
      <c r="L37" s="758" t="str">
        <f t="shared" si="10"/>
        <v/>
      </c>
      <c r="M37" s="760" t="str">
        <f t="shared" si="11"/>
        <v/>
      </c>
      <c r="N37" s="761"/>
      <c r="O37" s="772"/>
      <c r="P37" s="763"/>
      <c r="Q37" s="764" t="str">
        <f t="shared" si="15"/>
        <v/>
      </c>
      <c r="R37" s="765"/>
      <c r="S37" s="763"/>
      <c r="T37" s="766" t="str">
        <f t="shared" si="12"/>
        <v/>
      </c>
      <c r="U37" s="767"/>
      <c r="V37" s="768" t="str">
        <f t="shared" si="16"/>
        <v/>
      </c>
      <c r="W37" s="769"/>
      <c r="X37" s="768" t="str">
        <f t="shared" si="17"/>
        <v/>
      </c>
      <c r="Y37" s="769"/>
      <c r="Z37" s="768" t="str">
        <f t="shared" si="18"/>
        <v/>
      </c>
      <c r="AA37" s="769"/>
      <c r="AB37" s="768" t="str">
        <f t="shared" si="19"/>
        <v/>
      </c>
      <c r="AC37" s="769"/>
      <c r="AD37" s="768" t="str">
        <f t="shared" si="20"/>
        <v/>
      </c>
      <c r="AE37" s="769"/>
      <c r="AF37" s="768" t="str">
        <f t="shared" si="21"/>
        <v/>
      </c>
      <c r="AG37" s="769"/>
      <c r="AH37" s="768" t="str">
        <f t="shared" si="22"/>
        <v/>
      </c>
      <c r="AI37" s="769"/>
      <c r="AJ37" s="770" t="str">
        <f t="shared" si="23"/>
        <v/>
      </c>
      <c r="AK37" s="763"/>
      <c r="AL37" s="771"/>
      <c r="AM37" s="763"/>
      <c r="AN37" s="768" t="str">
        <f t="shared" si="24"/>
        <v/>
      </c>
      <c r="AO37" s="769"/>
      <c r="AP37" s="768" t="str">
        <f t="shared" si="25"/>
        <v/>
      </c>
      <c r="AQ37" s="769"/>
      <c r="AR37" s="768" t="str">
        <f t="shared" si="26"/>
        <v/>
      </c>
      <c r="AS37" s="769"/>
      <c r="AT37" s="768" t="str">
        <f t="shared" si="27"/>
        <v/>
      </c>
      <c r="AU37" s="769"/>
      <c r="AV37" s="764" t="str">
        <f t="shared" si="28"/>
        <v/>
      </c>
      <c r="AW37" s="729"/>
      <c r="AX37" s="730"/>
      <c r="AY37" s="731"/>
      <c r="AZ37" s="731"/>
      <c r="BA37" s="731"/>
      <c r="BB37" s="731"/>
      <c r="BC37" s="733"/>
      <c r="BD37" s="734"/>
      <c r="BE37" s="734"/>
      <c r="BF37" s="734"/>
      <c r="BG37" s="734"/>
      <c r="BH37" s="734"/>
      <c r="BI37" s="734"/>
      <c r="BJ37" s="734"/>
      <c r="BK37" s="734"/>
      <c r="BL37" s="734"/>
      <c r="BM37" s="734"/>
      <c r="BN37" s="734"/>
      <c r="BO37" s="734"/>
      <c r="BP37" s="734"/>
    </row>
    <row r="38" spans="2:68" s="709" customFormat="1" x14ac:dyDescent="0.3">
      <c r="B38" s="664"/>
      <c r="C38" s="754"/>
      <c r="D38" s="755" t="str">
        <f t="shared" si="4"/>
        <v/>
      </c>
      <c r="E38" s="756" t="str">
        <f t="shared" si="5"/>
        <v/>
      </c>
      <c r="F38" s="757" t="str">
        <f t="shared" si="6"/>
        <v/>
      </c>
      <c r="G38" s="758" t="str">
        <f t="shared" si="13"/>
        <v/>
      </c>
      <c r="H38" s="758" t="str">
        <f t="shared" si="14"/>
        <v/>
      </c>
      <c r="I38" s="756" t="str">
        <f t="shared" si="7"/>
        <v/>
      </c>
      <c r="J38" s="759" t="str">
        <f t="shared" si="8"/>
        <v/>
      </c>
      <c r="K38" s="755" t="str">
        <f t="shared" si="9"/>
        <v/>
      </c>
      <c r="L38" s="758" t="str">
        <f t="shared" si="10"/>
        <v/>
      </c>
      <c r="M38" s="760" t="str">
        <f t="shared" si="11"/>
        <v/>
      </c>
      <c r="N38" s="761"/>
      <c r="O38" s="772"/>
      <c r="P38" s="763"/>
      <c r="Q38" s="764" t="str">
        <f t="shared" si="15"/>
        <v/>
      </c>
      <c r="R38" s="765"/>
      <c r="S38" s="763"/>
      <c r="T38" s="766" t="str">
        <f t="shared" si="12"/>
        <v/>
      </c>
      <c r="U38" s="767"/>
      <c r="V38" s="768" t="str">
        <f t="shared" si="16"/>
        <v/>
      </c>
      <c r="W38" s="769"/>
      <c r="X38" s="768" t="str">
        <f t="shared" si="17"/>
        <v/>
      </c>
      <c r="Y38" s="769"/>
      <c r="Z38" s="768" t="str">
        <f t="shared" si="18"/>
        <v/>
      </c>
      <c r="AA38" s="769"/>
      <c r="AB38" s="768" t="str">
        <f t="shared" si="19"/>
        <v/>
      </c>
      <c r="AC38" s="769"/>
      <c r="AD38" s="768" t="str">
        <f t="shared" si="20"/>
        <v/>
      </c>
      <c r="AE38" s="769"/>
      <c r="AF38" s="768" t="str">
        <f t="shared" si="21"/>
        <v/>
      </c>
      <c r="AG38" s="769"/>
      <c r="AH38" s="768" t="str">
        <f t="shared" si="22"/>
        <v/>
      </c>
      <c r="AI38" s="769"/>
      <c r="AJ38" s="770" t="str">
        <f t="shared" si="23"/>
        <v/>
      </c>
      <c r="AK38" s="763"/>
      <c r="AL38" s="771"/>
      <c r="AM38" s="763"/>
      <c r="AN38" s="768" t="str">
        <f t="shared" si="24"/>
        <v/>
      </c>
      <c r="AO38" s="769"/>
      <c r="AP38" s="768" t="str">
        <f t="shared" si="25"/>
        <v/>
      </c>
      <c r="AQ38" s="769"/>
      <c r="AR38" s="768" t="str">
        <f t="shared" si="26"/>
        <v/>
      </c>
      <c r="AS38" s="769"/>
      <c r="AT38" s="768" t="str">
        <f t="shared" si="27"/>
        <v/>
      </c>
      <c r="AU38" s="769"/>
      <c r="AV38" s="764" t="str">
        <f t="shared" si="28"/>
        <v/>
      </c>
      <c r="AW38" s="729"/>
      <c r="AX38" s="730"/>
      <c r="AY38" s="731"/>
      <c r="AZ38" s="731"/>
      <c r="BA38" s="731"/>
      <c r="BB38" s="731"/>
      <c r="BC38" s="733"/>
      <c r="BD38" s="734"/>
      <c r="BE38" s="734"/>
      <c r="BF38" s="734"/>
      <c r="BG38" s="734"/>
      <c r="BH38" s="734"/>
      <c r="BI38" s="734"/>
      <c r="BJ38" s="734"/>
      <c r="BK38" s="734"/>
      <c r="BL38" s="734"/>
      <c r="BM38" s="734"/>
      <c r="BN38" s="734"/>
      <c r="BO38" s="734"/>
      <c r="BP38" s="734"/>
    </row>
    <row r="39" spans="2:68" s="709" customFormat="1" x14ac:dyDescent="0.3">
      <c r="B39" s="664"/>
      <c r="C39" s="754"/>
      <c r="D39" s="755" t="str">
        <f t="shared" si="4"/>
        <v/>
      </c>
      <c r="E39" s="756" t="str">
        <f t="shared" si="5"/>
        <v/>
      </c>
      <c r="F39" s="757" t="str">
        <f t="shared" si="6"/>
        <v/>
      </c>
      <c r="G39" s="758" t="str">
        <f t="shared" si="13"/>
        <v/>
      </c>
      <c r="H39" s="758" t="str">
        <f t="shared" si="14"/>
        <v/>
      </c>
      <c r="I39" s="756" t="str">
        <f t="shared" si="7"/>
        <v/>
      </c>
      <c r="J39" s="759" t="str">
        <f t="shared" si="8"/>
        <v/>
      </c>
      <c r="K39" s="755" t="str">
        <f t="shared" si="9"/>
        <v/>
      </c>
      <c r="L39" s="758" t="str">
        <f t="shared" si="10"/>
        <v/>
      </c>
      <c r="M39" s="760" t="str">
        <f t="shared" si="11"/>
        <v/>
      </c>
      <c r="N39" s="761"/>
      <c r="O39" s="772"/>
      <c r="P39" s="763"/>
      <c r="Q39" s="764" t="str">
        <f t="shared" si="15"/>
        <v/>
      </c>
      <c r="R39" s="765"/>
      <c r="S39" s="763"/>
      <c r="T39" s="766" t="str">
        <f t="shared" si="12"/>
        <v/>
      </c>
      <c r="U39" s="767"/>
      <c r="V39" s="768" t="str">
        <f t="shared" si="16"/>
        <v/>
      </c>
      <c r="W39" s="769"/>
      <c r="X39" s="768" t="str">
        <f t="shared" si="17"/>
        <v/>
      </c>
      <c r="Y39" s="769"/>
      <c r="Z39" s="768" t="str">
        <f t="shared" si="18"/>
        <v/>
      </c>
      <c r="AA39" s="769"/>
      <c r="AB39" s="768" t="str">
        <f t="shared" si="19"/>
        <v/>
      </c>
      <c r="AC39" s="769"/>
      <c r="AD39" s="768" t="str">
        <f t="shared" si="20"/>
        <v/>
      </c>
      <c r="AE39" s="769"/>
      <c r="AF39" s="768" t="str">
        <f t="shared" si="21"/>
        <v/>
      </c>
      <c r="AG39" s="769"/>
      <c r="AH39" s="768" t="str">
        <f t="shared" si="22"/>
        <v/>
      </c>
      <c r="AI39" s="769"/>
      <c r="AJ39" s="770" t="str">
        <f t="shared" si="23"/>
        <v/>
      </c>
      <c r="AK39" s="763"/>
      <c r="AL39" s="771"/>
      <c r="AM39" s="763"/>
      <c r="AN39" s="768" t="str">
        <f t="shared" si="24"/>
        <v/>
      </c>
      <c r="AO39" s="769"/>
      <c r="AP39" s="768" t="str">
        <f t="shared" si="25"/>
        <v/>
      </c>
      <c r="AQ39" s="769"/>
      <c r="AR39" s="768" t="str">
        <f t="shared" si="26"/>
        <v/>
      </c>
      <c r="AS39" s="769"/>
      <c r="AT39" s="768" t="str">
        <f t="shared" si="27"/>
        <v/>
      </c>
      <c r="AU39" s="769"/>
      <c r="AV39" s="764" t="str">
        <f t="shared" si="28"/>
        <v/>
      </c>
      <c r="AW39" s="729"/>
      <c r="AX39" s="730"/>
      <c r="AY39" s="731"/>
      <c r="AZ39" s="731"/>
      <c r="BA39" s="731"/>
      <c r="BB39" s="731"/>
      <c r="BC39" s="733"/>
      <c r="BD39" s="734"/>
      <c r="BE39" s="734"/>
      <c r="BF39" s="734"/>
      <c r="BG39" s="734"/>
      <c r="BH39" s="734"/>
      <c r="BI39" s="734"/>
      <c r="BJ39" s="734"/>
      <c r="BK39" s="734"/>
      <c r="BL39" s="734"/>
      <c r="BM39" s="734"/>
      <c r="BN39" s="734"/>
      <c r="BO39" s="734"/>
      <c r="BP39" s="734"/>
    </row>
    <row r="40" spans="2:68" s="709" customFormat="1" x14ac:dyDescent="0.3">
      <c r="B40" s="664"/>
      <c r="C40" s="773"/>
      <c r="D40" s="755" t="str">
        <f t="shared" si="4"/>
        <v/>
      </c>
      <c r="E40" s="756" t="str">
        <f t="shared" si="5"/>
        <v/>
      </c>
      <c r="F40" s="757" t="str">
        <f t="shared" si="6"/>
        <v/>
      </c>
      <c r="G40" s="758" t="str">
        <f t="shared" si="13"/>
        <v/>
      </c>
      <c r="H40" s="758" t="str">
        <f t="shared" si="14"/>
        <v/>
      </c>
      <c r="I40" s="756" t="str">
        <f t="shared" si="7"/>
        <v/>
      </c>
      <c r="J40" s="759" t="str">
        <f t="shared" si="8"/>
        <v/>
      </c>
      <c r="K40" s="755" t="str">
        <f t="shared" si="9"/>
        <v/>
      </c>
      <c r="L40" s="758" t="str">
        <f t="shared" si="10"/>
        <v/>
      </c>
      <c r="M40" s="760" t="str">
        <f t="shared" si="11"/>
        <v/>
      </c>
      <c r="N40" s="761"/>
      <c r="O40" s="772"/>
      <c r="P40" s="763"/>
      <c r="Q40" s="764" t="str">
        <f t="shared" si="15"/>
        <v/>
      </c>
      <c r="R40" s="765"/>
      <c r="S40" s="763"/>
      <c r="T40" s="766" t="str">
        <f t="shared" si="12"/>
        <v/>
      </c>
      <c r="U40" s="767"/>
      <c r="V40" s="768" t="str">
        <f t="shared" si="16"/>
        <v/>
      </c>
      <c r="W40" s="769"/>
      <c r="X40" s="768" t="str">
        <f t="shared" si="17"/>
        <v/>
      </c>
      <c r="Y40" s="769"/>
      <c r="Z40" s="768" t="str">
        <f t="shared" si="18"/>
        <v/>
      </c>
      <c r="AA40" s="769"/>
      <c r="AB40" s="768" t="str">
        <f t="shared" si="19"/>
        <v/>
      </c>
      <c r="AC40" s="769"/>
      <c r="AD40" s="768" t="str">
        <f t="shared" si="20"/>
        <v/>
      </c>
      <c r="AE40" s="769"/>
      <c r="AF40" s="768" t="str">
        <f t="shared" si="21"/>
        <v/>
      </c>
      <c r="AG40" s="769"/>
      <c r="AH40" s="768" t="str">
        <f t="shared" si="22"/>
        <v/>
      </c>
      <c r="AI40" s="769"/>
      <c r="AJ40" s="770" t="str">
        <f t="shared" si="23"/>
        <v/>
      </c>
      <c r="AK40" s="763"/>
      <c r="AL40" s="771"/>
      <c r="AM40" s="763"/>
      <c r="AN40" s="768" t="str">
        <f t="shared" si="24"/>
        <v/>
      </c>
      <c r="AO40" s="769"/>
      <c r="AP40" s="768" t="str">
        <f t="shared" si="25"/>
        <v/>
      </c>
      <c r="AQ40" s="769"/>
      <c r="AR40" s="768" t="str">
        <f t="shared" si="26"/>
        <v/>
      </c>
      <c r="AS40" s="769"/>
      <c r="AT40" s="768" t="str">
        <f t="shared" si="27"/>
        <v/>
      </c>
      <c r="AU40" s="769"/>
      <c r="AV40" s="764" t="str">
        <f t="shared" si="28"/>
        <v/>
      </c>
      <c r="AW40" s="729"/>
      <c r="AX40" s="730"/>
      <c r="AY40" s="731"/>
      <c r="AZ40" s="731"/>
      <c r="BA40" s="731"/>
      <c r="BB40" s="731"/>
      <c r="BC40" s="733"/>
      <c r="BD40" s="734"/>
      <c r="BE40" s="734"/>
      <c r="BF40" s="734"/>
      <c r="BG40" s="734"/>
      <c r="BH40" s="734"/>
      <c r="BI40" s="734"/>
      <c r="BJ40" s="734"/>
      <c r="BK40" s="734"/>
      <c r="BL40" s="734"/>
      <c r="BM40" s="734"/>
      <c r="BN40" s="734"/>
      <c r="BO40" s="734"/>
      <c r="BP40" s="734"/>
    </row>
    <row r="41" spans="2:68" s="709" customFormat="1" x14ac:dyDescent="0.3">
      <c r="B41" s="664"/>
      <c r="C41" s="754"/>
      <c r="D41" s="755" t="str">
        <f t="shared" si="4"/>
        <v/>
      </c>
      <c r="E41" s="756" t="str">
        <f t="shared" si="5"/>
        <v/>
      </c>
      <c r="F41" s="757" t="str">
        <f t="shared" si="6"/>
        <v/>
      </c>
      <c r="G41" s="758" t="str">
        <f t="shared" si="13"/>
        <v/>
      </c>
      <c r="H41" s="758" t="str">
        <f t="shared" si="14"/>
        <v/>
      </c>
      <c r="I41" s="756" t="str">
        <f t="shared" si="7"/>
        <v/>
      </c>
      <c r="J41" s="759" t="str">
        <f t="shared" si="8"/>
        <v/>
      </c>
      <c r="K41" s="755" t="str">
        <f t="shared" si="9"/>
        <v/>
      </c>
      <c r="L41" s="758" t="str">
        <f t="shared" si="10"/>
        <v/>
      </c>
      <c r="M41" s="760" t="str">
        <f t="shared" si="11"/>
        <v/>
      </c>
      <c r="N41" s="761"/>
      <c r="O41" s="772"/>
      <c r="P41" s="763"/>
      <c r="Q41" s="764" t="str">
        <f t="shared" si="15"/>
        <v/>
      </c>
      <c r="R41" s="765"/>
      <c r="S41" s="763"/>
      <c r="T41" s="766" t="str">
        <f t="shared" si="12"/>
        <v/>
      </c>
      <c r="U41" s="767"/>
      <c r="V41" s="768" t="str">
        <f t="shared" si="16"/>
        <v/>
      </c>
      <c r="W41" s="769"/>
      <c r="X41" s="768" t="str">
        <f t="shared" si="17"/>
        <v/>
      </c>
      <c r="Y41" s="769"/>
      <c r="Z41" s="768" t="str">
        <f t="shared" si="18"/>
        <v/>
      </c>
      <c r="AA41" s="769"/>
      <c r="AB41" s="768" t="str">
        <f t="shared" si="19"/>
        <v/>
      </c>
      <c r="AC41" s="769"/>
      <c r="AD41" s="768" t="str">
        <f t="shared" si="20"/>
        <v/>
      </c>
      <c r="AE41" s="769"/>
      <c r="AF41" s="768" t="str">
        <f t="shared" si="21"/>
        <v/>
      </c>
      <c r="AG41" s="769"/>
      <c r="AH41" s="768" t="str">
        <f t="shared" si="22"/>
        <v/>
      </c>
      <c r="AI41" s="769"/>
      <c r="AJ41" s="770" t="str">
        <f t="shared" si="23"/>
        <v/>
      </c>
      <c r="AK41" s="763"/>
      <c r="AL41" s="771"/>
      <c r="AM41" s="763"/>
      <c r="AN41" s="768" t="str">
        <f t="shared" si="24"/>
        <v/>
      </c>
      <c r="AO41" s="769"/>
      <c r="AP41" s="768" t="str">
        <f t="shared" si="25"/>
        <v/>
      </c>
      <c r="AQ41" s="769"/>
      <c r="AR41" s="768" t="str">
        <f t="shared" si="26"/>
        <v/>
      </c>
      <c r="AS41" s="769"/>
      <c r="AT41" s="768" t="str">
        <f t="shared" si="27"/>
        <v/>
      </c>
      <c r="AU41" s="769"/>
      <c r="AV41" s="764" t="str">
        <f t="shared" si="28"/>
        <v/>
      </c>
      <c r="AW41" s="729"/>
      <c r="AX41" s="730"/>
      <c r="AY41" s="731"/>
      <c r="AZ41" s="731"/>
      <c r="BA41" s="731"/>
      <c r="BB41" s="731"/>
      <c r="BC41" s="733"/>
      <c r="BD41" s="734"/>
      <c r="BE41" s="734"/>
      <c r="BF41" s="734"/>
      <c r="BG41" s="734"/>
      <c r="BH41" s="734"/>
      <c r="BI41" s="734"/>
      <c r="BJ41" s="734"/>
      <c r="BK41" s="734"/>
      <c r="BL41" s="734"/>
      <c r="BM41" s="734"/>
      <c r="BN41" s="734"/>
      <c r="BO41" s="734"/>
      <c r="BP41" s="734"/>
    </row>
    <row r="42" spans="2:68" s="709" customFormat="1" x14ac:dyDescent="0.3">
      <c r="B42" s="664"/>
      <c r="C42" s="754"/>
      <c r="D42" s="755" t="str">
        <f t="shared" si="4"/>
        <v/>
      </c>
      <c r="E42" s="756" t="str">
        <f t="shared" si="5"/>
        <v/>
      </c>
      <c r="F42" s="757" t="str">
        <f t="shared" si="6"/>
        <v/>
      </c>
      <c r="G42" s="758" t="str">
        <f t="shared" si="13"/>
        <v/>
      </c>
      <c r="H42" s="758" t="str">
        <f t="shared" si="14"/>
        <v/>
      </c>
      <c r="I42" s="756" t="str">
        <f t="shared" si="7"/>
        <v/>
      </c>
      <c r="J42" s="759" t="str">
        <f t="shared" si="8"/>
        <v/>
      </c>
      <c r="K42" s="755" t="str">
        <f t="shared" si="9"/>
        <v/>
      </c>
      <c r="L42" s="758" t="str">
        <f t="shared" si="10"/>
        <v/>
      </c>
      <c r="M42" s="760" t="str">
        <f t="shared" si="11"/>
        <v/>
      </c>
      <c r="N42" s="761"/>
      <c r="O42" s="762"/>
      <c r="P42" s="763"/>
      <c r="Q42" s="764" t="str">
        <f t="shared" si="15"/>
        <v/>
      </c>
      <c r="R42" s="765"/>
      <c r="S42" s="763"/>
      <c r="T42" s="766" t="str">
        <f t="shared" si="12"/>
        <v/>
      </c>
      <c r="U42" s="767"/>
      <c r="V42" s="768" t="str">
        <f t="shared" si="16"/>
        <v/>
      </c>
      <c r="W42" s="769"/>
      <c r="X42" s="768" t="str">
        <f t="shared" si="17"/>
        <v/>
      </c>
      <c r="Y42" s="769"/>
      <c r="Z42" s="768" t="str">
        <f t="shared" si="18"/>
        <v/>
      </c>
      <c r="AA42" s="769"/>
      <c r="AB42" s="768" t="str">
        <f t="shared" si="19"/>
        <v/>
      </c>
      <c r="AC42" s="769"/>
      <c r="AD42" s="768" t="str">
        <f t="shared" si="20"/>
        <v/>
      </c>
      <c r="AE42" s="769"/>
      <c r="AF42" s="768" t="str">
        <f t="shared" si="21"/>
        <v/>
      </c>
      <c r="AG42" s="769"/>
      <c r="AH42" s="768" t="str">
        <f t="shared" si="22"/>
        <v/>
      </c>
      <c r="AI42" s="769"/>
      <c r="AJ42" s="770" t="str">
        <f t="shared" si="23"/>
        <v/>
      </c>
      <c r="AK42" s="763"/>
      <c r="AL42" s="771"/>
      <c r="AM42" s="763"/>
      <c r="AN42" s="768" t="str">
        <f t="shared" si="24"/>
        <v/>
      </c>
      <c r="AO42" s="769"/>
      <c r="AP42" s="768" t="str">
        <f t="shared" si="25"/>
        <v/>
      </c>
      <c r="AQ42" s="769"/>
      <c r="AR42" s="768" t="str">
        <f t="shared" si="26"/>
        <v/>
      </c>
      <c r="AS42" s="769"/>
      <c r="AT42" s="768" t="str">
        <f t="shared" si="27"/>
        <v/>
      </c>
      <c r="AU42" s="769"/>
      <c r="AV42" s="764" t="str">
        <f t="shared" si="28"/>
        <v/>
      </c>
      <c r="AW42" s="729"/>
      <c r="AX42" s="730"/>
      <c r="AY42" s="731"/>
      <c r="AZ42" s="731"/>
      <c r="BA42" s="731"/>
      <c r="BB42" s="731"/>
      <c r="BC42" s="733"/>
      <c r="BD42" s="734"/>
      <c r="BE42" s="734"/>
      <c r="BF42" s="734"/>
      <c r="BG42" s="734"/>
      <c r="BH42" s="734"/>
      <c r="BI42" s="734"/>
      <c r="BJ42" s="734"/>
      <c r="BK42" s="734"/>
      <c r="BL42" s="734"/>
      <c r="BM42" s="734"/>
      <c r="BN42" s="734"/>
      <c r="BO42" s="734"/>
      <c r="BP42" s="734"/>
    </row>
    <row r="43" spans="2:68" s="709" customFormat="1" x14ac:dyDescent="0.3">
      <c r="B43" s="664"/>
      <c r="C43" s="754"/>
      <c r="D43" s="755" t="str">
        <f t="shared" si="4"/>
        <v/>
      </c>
      <c r="E43" s="756" t="str">
        <f t="shared" si="5"/>
        <v/>
      </c>
      <c r="F43" s="757" t="str">
        <f t="shared" si="6"/>
        <v/>
      </c>
      <c r="G43" s="758" t="str">
        <f t="shared" si="13"/>
        <v/>
      </c>
      <c r="H43" s="758" t="str">
        <f t="shared" si="14"/>
        <v/>
      </c>
      <c r="I43" s="756" t="str">
        <f t="shared" si="7"/>
        <v/>
      </c>
      <c r="J43" s="759" t="str">
        <f t="shared" si="8"/>
        <v/>
      </c>
      <c r="K43" s="755" t="str">
        <f t="shared" si="9"/>
        <v/>
      </c>
      <c r="L43" s="758" t="str">
        <f t="shared" si="10"/>
        <v/>
      </c>
      <c r="M43" s="760" t="str">
        <f t="shared" si="11"/>
        <v/>
      </c>
      <c r="N43" s="761"/>
      <c r="O43" s="772"/>
      <c r="P43" s="763"/>
      <c r="Q43" s="764" t="str">
        <f t="shared" si="15"/>
        <v/>
      </c>
      <c r="R43" s="765"/>
      <c r="S43" s="763"/>
      <c r="T43" s="766" t="str">
        <f t="shared" si="12"/>
        <v/>
      </c>
      <c r="U43" s="767"/>
      <c r="V43" s="768" t="str">
        <f t="shared" si="16"/>
        <v/>
      </c>
      <c r="W43" s="769"/>
      <c r="X43" s="768" t="str">
        <f t="shared" si="17"/>
        <v/>
      </c>
      <c r="Y43" s="769"/>
      <c r="Z43" s="768" t="str">
        <f t="shared" si="18"/>
        <v/>
      </c>
      <c r="AA43" s="769"/>
      <c r="AB43" s="768" t="str">
        <f t="shared" si="19"/>
        <v/>
      </c>
      <c r="AC43" s="769"/>
      <c r="AD43" s="768" t="str">
        <f t="shared" si="20"/>
        <v/>
      </c>
      <c r="AE43" s="769"/>
      <c r="AF43" s="768" t="str">
        <f t="shared" si="21"/>
        <v/>
      </c>
      <c r="AG43" s="769"/>
      <c r="AH43" s="768" t="str">
        <f t="shared" si="22"/>
        <v/>
      </c>
      <c r="AI43" s="769"/>
      <c r="AJ43" s="770" t="str">
        <f t="shared" si="23"/>
        <v/>
      </c>
      <c r="AK43" s="763"/>
      <c r="AL43" s="771"/>
      <c r="AM43" s="763"/>
      <c r="AN43" s="768" t="str">
        <f t="shared" si="24"/>
        <v/>
      </c>
      <c r="AO43" s="769"/>
      <c r="AP43" s="768" t="str">
        <f t="shared" si="25"/>
        <v/>
      </c>
      <c r="AQ43" s="769"/>
      <c r="AR43" s="768" t="str">
        <f t="shared" si="26"/>
        <v/>
      </c>
      <c r="AS43" s="769"/>
      <c r="AT43" s="768" t="str">
        <f t="shared" si="27"/>
        <v/>
      </c>
      <c r="AU43" s="769"/>
      <c r="AV43" s="764" t="str">
        <f t="shared" si="28"/>
        <v/>
      </c>
      <c r="AW43" s="729"/>
      <c r="AX43" s="730"/>
      <c r="AY43" s="731"/>
      <c r="AZ43" s="731"/>
      <c r="BA43" s="731"/>
      <c r="BB43" s="731"/>
      <c r="BC43" s="733"/>
      <c r="BD43" s="734"/>
      <c r="BE43" s="734"/>
      <c r="BF43" s="734"/>
      <c r="BG43" s="734"/>
      <c r="BH43" s="734"/>
      <c r="BI43" s="734"/>
      <c r="BJ43" s="734"/>
      <c r="BK43" s="734"/>
      <c r="BL43" s="734"/>
      <c r="BM43" s="734"/>
      <c r="BN43" s="734"/>
      <c r="BO43" s="734"/>
      <c r="BP43" s="734"/>
    </row>
    <row r="44" spans="2:68" s="709" customFormat="1" x14ac:dyDescent="0.3">
      <c r="B44" s="664"/>
      <c r="C44" s="754"/>
      <c r="D44" s="755" t="str">
        <f t="shared" si="4"/>
        <v/>
      </c>
      <c r="E44" s="756" t="str">
        <f t="shared" si="5"/>
        <v/>
      </c>
      <c r="F44" s="757" t="str">
        <f t="shared" si="6"/>
        <v/>
      </c>
      <c r="G44" s="758" t="str">
        <f t="shared" si="13"/>
        <v/>
      </c>
      <c r="H44" s="758" t="str">
        <f t="shared" si="14"/>
        <v/>
      </c>
      <c r="I44" s="756" t="str">
        <f t="shared" si="7"/>
        <v/>
      </c>
      <c r="J44" s="759" t="str">
        <f t="shared" si="8"/>
        <v/>
      </c>
      <c r="K44" s="755" t="str">
        <f t="shared" si="9"/>
        <v/>
      </c>
      <c r="L44" s="758" t="str">
        <f t="shared" si="10"/>
        <v/>
      </c>
      <c r="M44" s="760" t="str">
        <f t="shared" si="11"/>
        <v/>
      </c>
      <c r="N44" s="761"/>
      <c r="O44" s="772"/>
      <c r="P44" s="763"/>
      <c r="Q44" s="764" t="str">
        <f t="shared" si="15"/>
        <v/>
      </c>
      <c r="R44" s="765"/>
      <c r="S44" s="763"/>
      <c r="T44" s="766" t="str">
        <f t="shared" si="12"/>
        <v/>
      </c>
      <c r="U44" s="767"/>
      <c r="V44" s="768" t="str">
        <f t="shared" si="16"/>
        <v/>
      </c>
      <c r="W44" s="769"/>
      <c r="X44" s="768" t="str">
        <f t="shared" si="17"/>
        <v/>
      </c>
      <c r="Y44" s="769"/>
      <c r="Z44" s="768" t="str">
        <f t="shared" si="18"/>
        <v/>
      </c>
      <c r="AA44" s="769"/>
      <c r="AB44" s="768" t="str">
        <f t="shared" si="19"/>
        <v/>
      </c>
      <c r="AC44" s="769"/>
      <c r="AD44" s="768" t="str">
        <f t="shared" si="20"/>
        <v/>
      </c>
      <c r="AE44" s="769"/>
      <c r="AF44" s="768" t="str">
        <f t="shared" si="21"/>
        <v/>
      </c>
      <c r="AG44" s="769"/>
      <c r="AH44" s="768" t="str">
        <f t="shared" si="22"/>
        <v/>
      </c>
      <c r="AI44" s="769"/>
      <c r="AJ44" s="770" t="str">
        <f t="shared" si="23"/>
        <v/>
      </c>
      <c r="AK44" s="763"/>
      <c r="AL44" s="771"/>
      <c r="AM44" s="763"/>
      <c r="AN44" s="768" t="str">
        <f t="shared" si="24"/>
        <v/>
      </c>
      <c r="AO44" s="769"/>
      <c r="AP44" s="768" t="str">
        <f t="shared" si="25"/>
        <v/>
      </c>
      <c r="AQ44" s="769"/>
      <c r="AR44" s="768" t="str">
        <f t="shared" si="26"/>
        <v/>
      </c>
      <c r="AS44" s="769"/>
      <c r="AT44" s="768" t="str">
        <f t="shared" si="27"/>
        <v/>
      </c>
      <c r="AU44" s="769"/>
      <c r="AV44" s="764" t="str">
        <f t="shared" si="28"/>
        <v/>
      </c>
      <c r="AW44" s="729"/>
      <c r="AX44" s="730"/>
      <c r="AY44" s="731"/>
      <c r="AZ44" s="731"/>
      <c r="BA44" s="731"/>
      <c r="BB44" s="731"/>
      <c r="BC44" s="733"/>
      <c r="BD44" s="734"/>
      <c r="BE44" s="734"/>
      <c r="BF44" s="734"/>
      <c r="BG44" s="734"/>
      <c r="BH44" s="734"/>
      <c r="BI44" s="734"/>
      <c r="BJ44" s="734"/>
      <c r="BK44" s="734"/>
      <c r="BL44" s="734"/>
      <c r="BM44" s="734"/>
      <c r="BN44" s="734"/>
      <c r="BO44" s="734"/>
      <c r="BP44" s="734"/>
    </row>
    <row r="45" spans="2:68" s="709" customFormat="1" x14ac:dyDescent="0.3">
      <c r="B45" s="664"/>
      <c r="C45" s="754"/>
      <c r="D45" s="755" t="str">
        <f t="shared" si="4"/>
        <v/>
      </c>
      <c r="E45" s="756" t="str">
        <f t="shared" si="5"/>
        <v/>
      </c>
      <c r="F45" s="757" t="str">
        <f t="shared" si="6"/>
        <v/>
      </c>
      <c r="G45" s="758" t="str">
        <f t="shared" si="13"/>
        <v/>
      </c>
      <c r="H45" s="758" t="str">
        <f t="shared" si="14"/>
        <v/>
      </c>
      <c r="I45" s="756" t="str">
        <f t="shared" si="7"/>
        <v/>
      </c>
      <c r="J45" s="759" t="str">
        <f t="shared" si="8"/>
        <v/>
      </c>
      <c r="K45" s="755" t="str">
        <f t="shared" si="9"/>
        <v/>
      </c>
      <c r="L45" s="758" t="str">
        <f t="shared" si="10"/>
        <v/>
      </c>
      <c r="M45" s="760" t="str">
        <f t="shared" si="11"/>
        <v/>
      </c>
      <c r="N45" s="761"/>
      <c r="O45" s="772"/>
      <c r="P45" s="763"/>
      <c r="Q45" s="764" t="str">
        <f t="shared" si="15"/>
        <v/>
      </c>
      <c r="R45" s="765"/>
      <c r="S45" s="763"/>
      <c r="T45" s="766" t="str">
        <f t="shared" si="12"/>
        <v/>
      </c>
      <c r="U45" s="767"/>
      <c r="V45" s="768" t="str">
        <f t="shared" si="16"/>
        <v/>
      </c>
      <c r="W45" s="769"/>
      <c r="X45" s="768" t="str">
        <f t="shared" si="17"/>
        <v/>
      </c>
      <c r="Y45" s="769"/>
      <c r="Z45" s="768" t="str">
        <f t="shared" si="18"/>
        <v/>
      </c>
      <c r="AA45" s="769"/>
      <c r="AB45" s="768" t="str">
        <f t="shared" si="19"/>
        <v/>
      </c>
      <c r="AC45" s="769"/>
      <c r="AD45" s="768" t="str">
        <f t="shared" si="20"/>
        <v/>
      </c>
      <c r="AE45" s="769"/>
      <c r="AF45" s="768" t="str">
        <f t="shared" si="21"/>
        <v/>
      </c>
      <c r="AG45" s="769"/>
      <c r="AH45" s="768" t="str">
        <f t="shared" si="22"/>
        <v/>
      </c>
      <c r="AI45" s="769"/>
      <c r="AJ45" s="770" t="str">
        <f t="shared" si="23"/>
        <v/>
      </c>
      <c r="AK45" s="763"/>
      <c r="AL45" s="771"/>
      <c r="AM45" s="763"/>
      <c r="AN45" s="768" t="str">
        <f t="shared" si="24"/>
        <v/>
      </c>
      <c r="AO45" s="769"/>
      <c r="AP45" s="768" t="str">
        <f t="shared" si="25"/>
        <v/>
      </c>
      <c r="AQ45" s="769"/>
      <c r="AR45" s="768" t="str">
        <f t="shared" si="26"/>
        <v/>
      </c>
      <c r="AS45" s="769"/>
      <c r="AT45" s="768" t="str">
        <f t="shared" si="27"/>
        <v/>
      </c>
      <c r="AU45" s="769"/>
      <c r="AV45" s="764" t="str">
        <f t="shared" si="28"/>
        <v/>
      </c>
      <c r="AW45" s="729"/>
      <c r="AX45" s="730"/>
      <c r="AY45" s="731"/>
      <c r="AZ45" s="731"/>
      <c r="BA45" s="731"/>
      <c r="BB45" s="731"/>
      <c r="BC45" s="733"/>
      <c r="BD45" s="734"/>
      <c r="BE45" s="734"/>
      <c r="BF45" s="734"/>
      <c r="BG45" s="734"/>
      <c r="BH45" s="734"/>
      <c r="BI45" s="734"/>
      <c r="BJ45" s="734"/>
      <c r="BK45" s="734"/>
      <c r="BL45" s="734"/>
      <c r="BM45" s="734"/>
      <c r="BN45" s="734"/>
      <c r="BO45" s="734"/>
      <c r="BP45" s="734"/>
    </row>
    <row r="46" spans="2:68" s="709" customFormat="1" x14ac:dyDescent="0.3">
      <c r="B46" s="664"/>
      <c r="C46" s="754"/>
      <c r="D46" s="755" t="str">
        <f t="shared" si="4"/>
        <v/>
      </c>
      <c r="E46" s="756" t="str">
        <f t="shared" si="5"/>
        <v/>
      </c>
      <c r="F46" s="757" t="str">
        <f t="shared" si="6"/>
        <v/>
      </c>
      <c r="G46" s="758" t="str">
        <f t="shared" si="13"/>
        <v/>
      </c>
      <c r="H46" s="758" t="str">
        <f t="shared" si="14"/>
        <v/>
      </c>
      <c r="I46" s="756" t="str">
        <f t="shared" si="7"/>
        <v/>
      </c>
      <c r="J46" s="759" t="str">
        <f t="shared" si="8"/>
        <v/>
      </c>
      <c r="K46" s="755" t="str">
        <f t="shared" si="9"/>
        <v/>
      </c>
      <c r="L46" s="758" t="str">
        <f t="shared" si="10"/>
        <v/>
      </c>
      <c r="M46" s="760" t="str">
        <f t="shared" si="11"/>
        <v/>
      </c>
      <c r="N46" s="761"/>
      <c r="O46" s="772"/>
      <c r="P46" s="763"/>
      <c r="Q46" s="764" t="str">
        <f t="shared" si="15"/>
        <v/>
      </c>
      <c r="R46" s="765"/>
      <c r="S46" s="763"/>
      <c r="T46" s="766" t="str">
        <f t="shared" si="12"/>
        <v/>
      </c>
      <c r="U46" s="767"/>
      <c r="V46" s="768" t="str">
        <f t="shared" si="16"/>
        <v/>
      </c>
      <c r="W46" s="769"/>
      <c r="X46" s="768" t="str">
        <f t="shared" si="17"/>
        <v/>
      </c>
      <c r="Y46" s="769"/>
      <c r="Z46" s="768" t="str">
        <f t="shared" si="18"/>
        <v/>
      </c>
      <c r="AA46" s="769"/>
      <c r="AB46" s="768" t="str">
        <f t="shared" si="19"/>
        <v/>
      </c>
      <c r="AC46" s="769"/>
      <c r="AD46" s="768" t="str">
        <f t="shared" si="20"/>
        <v/>
      </c>
      <c r="AE46" s="769"/>
      <c r="AF46" s="768" t="str">
        <f t="shared" si="21"/>
        <v/>
      </c>
      <c r="AG46" s="769"/>
      <c r="AH46" s="768" t="str">
        <f t="shared" si="22"/>
        <v/>
      </c>
      <c r="AI46" s="769"/>
      <c r="AJ46" s="770" t="str">
        <f t="shared" si="23"/>
        <v/>
      </c>
      <c r="AK46" s="763"/>
      <c r="AL46" s="771"/>
      <c r="AM46" s="763"/>
      <c r="AN46" s="768" t="str">
        <f t="shared" si="24"/>
        <v/>
      </c>
      <c r="AO46" s="769"/>
      <c r="AP46" s="768" t="str">
        <f t="shared" si="25"/>
        <v/>
      </c>
      <c r="AQ46" s="769"/>
      <c r="AR46" s="768" t="str">
        <f t="shared" si="26"/>
        <v/>
      </c>
      <c r="AS46" s="769"/>
      <c r="AT46" s="768" t="str">
        <f t="shared" si="27"/>
        <v/>
      </c>
      <c r="AU46" s="769"/>
      <c r="AV46" s="764" t="str">
        <f t="shared" si="28"/>
        <v/>
      </c>
      <c r="AW46" s="729"/>
      <c r="AX46" s="730"/>
      <c r="AY46" s="731"/>
      <c r="AZ46" s="731"/>
      <c r="BA46" s="731"/>
      <c r="BB46" s="731"/>
      <c r="BC46" s="733"/>
      <c r="BD46" s="734"/>
      <c r="BE46" s="734"/>
      <c r="BF46" s="734"/>
      <c r="BG46" s="734"/>
      <c r="BH46" s="734"/>
      <c r="BI46" s="734"/>
      <c r="BJ46" s="734"/>
      <c r="BK46" s="734"/>
      <c r="BL46" s="734"/>
      <c r="BM46" s="734"/>
      <c r="BN46" s="734"/>
      <c r="BO46" s="734"/>
      <c r="BP46" s="734"/>
    </row>
    <row r="47" spans="2:68" s="709" customFormat="1" x14ac:dyDescent="0.3">
      <c r="B47" s="664"/>
      <c r="C47" s="754"/>
      <c r="D47" s="755" t="str">
        <f t="shared" si="4"/>
        <v/>
      </c>
      <c r="E47" s="756" t="str">
        <f t="shared" si="5"/>
        <v/>
      </c>
      <c r="F47" s="757" t="str">
        <f t="shared" si="6"/>
        <v/>
      </c>
      <c r="G47" s="758" t="str">
        <f t="shared" si="13"/>
        <v/>
      </c>
      <c r="H47" s="758" t="str">
        <f t="shared" si="14"/>
        <v/>
      </c>
      <c r="I47" s="756" t="str">
        <f t="shared" si="7"/>
        <v/>
      </c>
      <c r="J47" s="759" t="str">
        <f t="shared" si="8"/>
        <v/>
      </c>
      <c r="K47" s="755" t="str">
        <f t="shared" si="9"/>
        <v/>
      </c>
      <c r="L47" s="758" t="str">
        <f t="shared" si="10"/>
        <v/>
      </c>
      <c r="M47" s="760" t="str">
        <f t="shared" si="11"/>
        <v/>
      </c>
      <c r="N47" s="761"/>
      <c r="O47" s="772"/>
      <c r="P47" s="763"/>
      <c r="Q47" s="764" t="str">
        <f t="shared" si="15"/>
        <v/>
      </c>
      <c r="R47" s="765"/>
      <c r="S47" s="763"/>
      <c r="T47" s="766" t="str">
        <f t="shared" si="12"/>
        <v/>
      </c>
      <c r="U47" s="767"/>
      <c r="V47" s="768" t="str">
        <f t="shared" si="16"/>
        <v/>
      </c>
      <c r="W47" s="769"/>
      <c r="X47" s="768" t="str">
        <f t="shared" si="17"/>
        <v/>
      </c>
      <c r="Y47" s="769"/>
      <c r="Z47" s="768" t="str">
        <f t="shared" si="18"/>
        <v/>
      </c>
      <c r="AA47" s="769"/>
      <c r="AB47" s="768" t="str">
        <f t="shared" si="19"/>
        <v/>
      </c>
      <c r="AC47" s="769"/>
      <c r="AD47" s="768" t="str">
        <f t="shared" si="20"/>
        <v/>
      </c>
      <c r="AE47" s="769"/>
      <c r="AF47" s="768" t="str">
        <f t="shared" si="21"/>
        <v/>
      </c>
      <c r="AG47" s="769"/>
      <c r="AH47" s="768" t="str">
        <f t="shared" si="22"/>
        <v/>
      </c>
      <c r="AI47" s="769"/>
      <c r="AJ47" s="770" t="str">
        <f t="shared" si="23"/>
        <v/>
      </c>
      <c r="AK47" s="763"/>
      <c r="AL47" s="771"/>
      <c r="AM47" s="763"/>
      <c r="AN47" s="768" t="str">
        <f t="shared" si="24"/>
        <v/>
      </c>
      <c r="AO47" s="769"/>
      <c r="AP47" s="768" t="str">
        <f t="shared" si="25"/>
        <v/>
      </c>
      <c r="AQ47" s="769"/>
      <c r="AR47" s="768" t="str">
        <f t="shared" si="26"/>
        <v/>
      </c>
      <c r="AS47" s="769"/>
      <c r="AT47" s="768" t="str">
        <f t="shared" si="27"/>
        <v/>
      </c>
      <c r="AU47" s="769"/>
      <c r="AV47" s="764" t="str">
        <f t="shared" si="28"/>
        <v/>
      </c>
      <c r="AW47" s="729"/>
      <c r="AX47" s="730"/>
      <c r="AY47" s="731"/>
      <c r="AZ47" s="731"/>
      <c r="BA47" s="731"/>
      <c r="BB47" s="731"/>
      <c r="BC47" s="733"/>
      <c r="BD47" s="734"/>
      <c r="BE47" s="734"/>
      <c r="BF47" s="734"/>
      <c r="BG47" s="734"/>
      <c r="BH47" s="734"/>
      <c r="BI47" s="734"/>
      <c r="BJ47" s="734"/>
      <c r="BK47" s="734"/>
      <c r="BL47" s="734"/>
      <c r="BM47" s="734"/>
      <c r="BN47" s="734"/>
      <c r="BO47" s="734"/>
      <c r="BP47" s="734"/>
    </row>
    <row r="48" spans="2:68" s="709" customFormat="1" x14ac:dyDescent="0.3">
      <c r="B48" s="664"/>
      <c r="C48" s="754"/>
      <c r="D48" s="755" t="str">
        <f t="shared" si="4"/>
        <v/>
      </c>
      <c r="E48" s="756" t="str">
        <f t="shared" si="5"/>
        <v/>
      </c>
      <c r="F48" s="757" t="str">
        <f t="shared" si="6"/>
        <v/>
      </c>
      <c r="G48" s="758" t="str">
        <f t="shared" si="13"/>
        <v/>
      </c>
      <c r="H48" s="758" t="str">
        <f t="shared" si="14"/>
        <v/>
      </c>
      <c r="I48" s="756" t="str">
        <f t="shared" si="7"/>
        <v/>
      </c>
      <c r="J48" s="759" t="str">
        <f t="shared" si="8"/>
        <v/>
      </c>
      <c r="K48" s="755" t="str">
        <f t="shared" si="9"/>
        <v/>
      </c>
      <c r="L48" s="758" t="str">
        <f t="shared" si="10"/>
        <v/>
      </c>
      <c r="M48" s="760" t="str">
        <f t="shared" si="11"/>
        <v/>
      </c>
      <c r="N48" s="761"/>
      <c r="O48" s="772"/>
      <c r="P48" s="763"/>
      <c r="Q48" s="764" t="str">
        <f t="shared" si="15"/>
        <v/>
      </c>
      <c r="R48" s="765"/>
      <c r="S48" s="763"/>
      <c r="T48" s="766" t="str">
        <f t="shared" si="12"/>
        <v/>
      </c>
      <c r="U48" s="767"/>
      <c r="V48" s="768" t="str">
        <f t="shared" si="16"/>
        <v/>
      </c>
      <c r="W48" s="769"/>
      <c r="X48" s="768" t="str">
        <f t="shared" si="17"/>
        <v/>
      </c>
      <c r="Y48" s="769"/>
      <c r="Z48" s="768" t="str">
        <f t="shared" si="18"/>
        <v/>
      </c>
      <c r="AA48" s="769"/>
      <c r="AB48" s="768" t="str">
        <f t="shared" si="19"/>
        <v/>
      </c>
      <c r="AC48" s="769"/>
      <c r="AD48" s="768" t="str">
        <f t="shared" si="20"/>
        <v/>
      </c>
      <c r="AE48" s="769"/>
      <c r="AF48" s="768" t="str">
        <f t="shared" si="21"/>
        <v/>
      </c>
      <c r="AG48" s="769"/>
      <c r="AH48" s="768" t="str">
        <f t="shared" si="22"/>
        <v/>
      </c>
      <c r="AI48" s="769"/>
      <c r="AJ48" s="770" t="str">
        <f t="shared" si="23"/>
        <v/>
      </c>
      <c r="AK48" s="763"/>
      <c r="AL48" s="771"/>
      <c r="AM48" s="763"/>
      <c r="AN48" s="768" t="str">
        <f t="shared" si="24"/>
        <v/>
      </c>
      <c r="AO48" s="769"/>
      <c r="AP48" s="768" t="str">
        <f t="shared" si="25"/>
        <v/>
      </c>
      <c r="AQ48" s="769"/>
      <c r="AR48" s="768" t="str">
        <f t="shared" si="26"/>
        <v/>
      </c>
      <c r="AS48" s="769"/>
      <c r="AT48" s="768" t="str">
        <f t="shared" si="27"/>
        <v/>
      </c>
      <c r="AU48" s="769"/>
      <c r="AV48" s="764" t="str">
        <f t="shared" si="28"/>
        <v/>
      </c>
      <c r="AW48" s="729"/>
      <c r="AX48" s="730"/>
      <c r="AY48" s="731"/>
      <c r="AZ48" s="731"/>
      <c r="BA48" s="731"/>
      <c r="BB48" s="731"/>
      <c r="BC48" s="733"/>
      <c r="BD48" s="734"/>
      <c r="BE48" s="734"/>
      <c r="BF48" s="734"/>
      <c r="BG48" s="734"/>
      <c r="BH48" s="734"/>
      <c r="BI48" s="734"/>
      <c r="BJ48" s="734"/>
      <c r="BK48" s="734"/>
      <c r="BL48" s="734"/>
      <c r="BM48" s="734"/>
      <c r="BN48" s="734"/>
      <c r="BO48" s="734"/>
      <c r="BP48" s="734"/>
    </row>
    <row r="49" spans="2:68" s="709" customFormat="1" x14ac:dyDescent="0.3">
      <c r="B49" s="664"/>
      <c r="C49" s="754"/>
      <c r="D49" s="755" t="str">
        <f t="shared" si="4"/>
        <v/>
      </c>
      <c r="E49" s="756" t="str">
        <f t="shared" si="5"/>
        <v/>
      </c>
      <c r="F49" s="757" t="str">
        <f t="shared" si="6"/>
        <v/>
      </c>
      <c r="G49" s="758" t="str">
        <f t="shared" si="13"/>
        <v/>
      </c>
      <c r="H49" s="758" t="str">
        <f t="shared" si="14"/>
        <v/>
      </c>
      <c r="I49" s="756" t="str">
        <f t="shared" si="7"/>
        <v/>
      </c>
      <c r="J49" s="759" t="str">
        <f t="shared" si="8"/>
        <v/>
      </c>
      <c r="K49" s="755" t="str">
        <f t="shared" si="9"/>
        <v/>
      </c>
      <c r="L49" s="758" t="str">
        <f t="shared" si="10"/>
        <v/>
      </c>
      <c r="M49" s="760" t="str">
        <f t="shared" si="11"/>
        <v/>
      </c>
      <c r="N49" s="761"/>
      <c r="O49" s="772"/>
      <c r="P49" s="763"/>
      <c r="Q49" s="764" t="str">
        <f t="shared" si="15"/>
        <v/>
      </c>
      <c r="R49" s="765"/>
      <c r="S49" s="763"/>
      <c r="T49" s="766" t="str">
        <f t="shared" si="12"/>
        <v/>
      </c>
      <c r="U49" s="767"/>
      <c r="V49" s="768" t="str">
        <f t="shared" si="16"/>
        <v/>
      </c>
      <c r="W49" s="769"/>
      <c r="X49" s="768" t="str">
        <f t="shared" si="17"/>
        <v/>
      </c>
      <c r="Y49" s="769"/>
      <c r="Z49" s="768" t="str">
        <f t="shared" si="18"/>
        <v/>
      </c>
      <c r="AA49" s="769"/>
      <c r="AB49" s="768" t="str">
        <f t="shared" si="19"/>
        <v/>
      </c>
      <c r="AC49" s="769"/>
      <c r="AD49" s="768" t="str">
        <f t="shared" si="20"/>
        <v/>
      </c>
      <c r="AE49" s="769"/>
      <c r="AF49" s="768" t="str">
        <f t="shared" si="21"/>
        <v/>
      </c>
      <c r="AG49" s="769"/>
      <c r="AH49" s="768" t="str">
        <f t="shared" si="22"/>
        <v/>
      </c>
      <c r="AI49" s="769"/>
      <c r="AJ49" s="770" t="str">
        <f t="shared" si="23"/>
        <v/>
      </c>
      <c r="AK49" s="763"/>
      <c r="AL49" s="771"/>
      <c r="AM49" s="763"/>
      <c r="AN49" s="768" t="str">
        <f t="shared" si="24"/>
        <v/>
      </c>
      <c r="AO49" s="769"/>
      <c r="AP49" s="768" t="str">
        <f t="shared" si="25"/>
        <v/>
      </c>
      <c r="AQ49" s="769"/>
      <c r="AR49" s="768" t="str">
        <f t="shared" si="26"/>
        <v/>
      </c>
      <c r="AS49" s="769"/>
      <c r="AT49" s="768" t="str">
        <f t="shared" si="27"/>
        <v/>
      </c>
      <c r="AU49" s="769"/>
      <c r="AV49" s="764" t="str">
        <f t="shared" si="28"/>
        <v/>
      </c>
      <c r="AW49" s="729"/>
      <c r="AX49" s="730"/>
      <c r="AY49" s="731"/>
      <c r="AZ49" s="731"/>
      <c r="BA49" s="731"/>
      <c r="BB49" s="731"/>
      <c r="BC49" s="733"/>
      <c r="BD49" s="734"/>
      <c r="BE49" s="734"/>
      <c r="BF49" s="734"/>
      <c r="BG49" s="734"/>
      <c r="BH49" s="734"/>
      <c r="BI49" s="734"/>
      <c r="BJ49" s="734"/>
      <c r="BK49" s="734"/>
      <c r="BL49" s="734"/>
      <c r="BM49" s="734"/>
      <c r="BN49" s="734"/>
      <c r="BO49" s="734"/>
      <c r="BP49" s="734"/>
    </row>
    <row r="50" spans="2:68" s="709" customFormat="1" x14ac:dyDescent="0.3">
      <c r="B50" s="664"/>
      <c r="C50" s="773"/>
      <c r="D50" s="755" t="str">
        <f t="shared" si="4"/>
        <v/>
      </c>
      <c r="E50" s="756" t="str">
        <f t="shared" si="5"/>
        <v/>
      </c>
      <c r="F50" s="757" t="str">
        <f t="shared" si="6"/>
        <v/>
      </c>
      <c r="G50" s="758" t="str">
        <f t="shared" si="13"/>
        <v/>
      </c>
      <c r="H50" s="758" t="str">
        <f t="shared" si="14"/>
        <v/>
      </c>
      <c r="I50" s="756" t="str">
        <f t="shared" si="7"/>
        <v/>
      </c>
      <c r="J50" s="759" t="str">
        <f t="shared" si="8"/>
        <v/>
      </c>
      <c r="K50" s="755" t="str">
        <f t="shared" si="9"/>
        <v/>
      </c>
      <c r="L50" s="758" t="str">
        <f t="shared" si="10"/>
        <v/>
      </c>
      <c r="M50" s="760" t="str">
        <f t="shared" si="11"/>
        <v/>
      </c>
      <c r="N50" s="761"/>
      <c r="O50" s="772"/>
      <c r="P50" s="763"/>
      <c r="Q50" s="764" t="str">
        <f t="shared" si="15"/>
        <v/>
      </c>
      <c r="R50" s="765"/>
      <c r="S50" s="763"/>
      <c r="T50" s="766" t="str">
        <f t="shared" si="12"/>
        <v/>
      </c>
      <c r="U50" s="767"/>
      <c r="V50" s="768" t="str">
        <f t="shared" si="16"/>
        <v/>
      </c>
      <c r="W50" s="769"/>
      <c r="X50" s="768" t="str">
        <f t="shared" si="17"/>
        <v/>
      </c>
      <c r="Y50" s="769"/>
      <c r="Z50" s="768" t="str">
        <f t="shared" si="18"/>
        <v/>
      </c>
      <c r="AA50" s="769"/>
      <c r="AB50" s="768" t="str">
        <f t="shared" si="19"/>
        <v/>
      </c>
      <c r="AC50" s="769"/>
      <c r="AD50" s="768" t="str">
        <f t="shared" si="20"/>
        <v/>
      </c>
      <c r="AE50" s="769"/>
      <c r="AF50" s="768" t="str">
        <f t="shared" si="21"/>
        <v/>
      </c>
      <c r="AG50" s="769"/>
      <c r="AH50" s="768" t="str">
        <f t="shared" si="22"/>
        <v/>
      </c>
      <c r="AI50" s="769"/>
      <c r="AJ50" s="770" t="str">
        <f t="shared" si="23"/>
        <v/>
      </c>
      <c r="AK50" s="763"/>
      <c r="AL50" s="771"/>
      <c r="AM50" s="763"/>
      <c r="AN50" s="768" t="str">
        <f t="shared" si="24"/>
        <v/>
      </c>
      <c r="AO50" s="769"/>
      <c r="AP50" s="768" t="str">
        <f t="shared" si="25"/>
        <v/>
      </c>
      <c r="AQ50" s="769"/>
      <c r="AR50" s="768" t="str">
        <f t="shared" si="26"/>
        <v/>
      </c>
      <c r="AS50" s="769"/>
      <c r="AT50" s="768" t="str">
        <f t="shared" si="27"/>
        <v/>
      </c>
      <c r="AU50" s="769"/>
      <c r="AV50" s="764" t="str">
        <f t="shared" si="28"/>
        <v/>
      </c>
      <c r="AW50" s="729"/>
      <c r="AX50" s="730"/>
      <c r="AY50" s="731"/>
      <c r="AZ50" s="731"/>
      <c r="BA50" s="731"/>
      <c r="BB50" s="731"/>
      <c r="BC50" s="733"/>
      <c r="BD50" s="734"/>
      <c r="BE50" s="734"/>
      <c r="BF50" s="734"/>
      <c r="BG50" s="734"/>
      <c r="BH50" s="734"/>
      <c r="BI50" s="734"/>
      <c r="BJ50" s="734"/>
      <c r="BK50" s="734"/>
      <c r="BL50" s="734"/>
      <c r="BM50" s="734"/>
      <c r="BN50" s="734"/>
      <c r="BO50" s="734"/>
      <c r="BP50" s="734"/>
    </row>
    <row r="51" spans="2:68" s="709" customFormat="1" x14ac:dyDescent="0.3">
      <c r="B51" s="664"/>
      <c r="C51" s="754"/>
      <c r="D51" s="755" t="str">
        <f t="shared" si="4"/>
        <v/>
      </c>
      <c r="E51" s="756" t="str">
        <f t="shared" si="5"/>
        <v/>
      </c>
      <c r="F51" s="757" t="str">
        <f t="shared" si="6"/>
        <v/>
      </c>
      <c r="G51" s="758" t="str">
        <f t="shared" si="13"/>
        <v/>
      </c>
      <c r="H51" s="758" t="str">
        <f t="shared" si="14"/>
        <v/>
      </c>
      <c r="I51" s="756" t="str">
        <f t="shared" si="7"/>
        <v/>
      </c>
      <c r="J51" s="759" t="str">
        <f t="shared" si="8"/>
        <v/>
      </c>
      <c r="K51" s="755" t="str">
        <f t="shared" si="9"/>
        <v/>
      </c>
      <c r="L51" s="758" t="str">
        <f t="shared" si="10"/>
        <v/>
      </c>
      <c r="M51" s="760" t="str">
        <f t="shared" si="11"/>
        <v/>
      </c>
      <c r="N51" s="761"/>
      <c r="O51" s="772"/>
      <c r="P51" s="763"/>
      <c r="Q51" s="764" t="str">
        <f t="shared" si="15"/>
        <v/>
      </c>
      <c r="R51" s="765"/>
      <c r="S51" s="763"/>
      <c r="T51" s="766" t="str">
        <f t="shared" si="12"/>
        <v/>
      </c>
      <c r="U51" s="767"/>
      <c r="V51" s="768" t="str">
        <f t="shared" si="16"/>
        <v/>
      </c>
      <c r="W51" s="769"/>
      <c r="X51" s="768" t="str">
        <f t="shared" si="17"/>
        <v/>
      </c>
      <c r="Y51" s="769"/>
      <c r="Z51" s="768" t="str">
        <f t="shared" si="18"/>
        <v/>
      </c>
      <c r="AA51" s="769"/>
      <c r="AB51" s="768" t="str">
        <f t="shared" si="19"/>
        <v/>
      </c>
      <c r="AC51" s="769"/>
      <c r="AD51" s="768" t="str">
        <f t="shared" si="20"/>
        <v/>
      </c>
      <c r="AE51" s="769"/>
      <c r="AF51" s="768" t="str">
        <f t="shared" si="21"/>
        <v/>
      </c>
      <c r="AG51" s="769"/>
      <c r="AH51" s="768" t="str">
        <f t="shared" si="22"/>
        <v/>
      </c>
      <c r="AI51" s="769"/>
      <c r="AJ51" s="770" t="str">
        <f t="shared" si="23"/>
        <v/>
      </c>
      <c r="AK51" s="763"/>
      <c r="AL51" s="771"/>
      <c r="AM51" s="763"/>
      <c r="AN51" s="768" t="str">
        <f t="shared" si="24"/>
        <v/>
      </c>
      <c r="AO51" s="769"/>
      <c r="AP51" s="768" t="str">
        <f t="shared" si="25"/>
        <v/>
      </c>
      <c r="AQ51" s="769"/>
      <c r="AR51" s="768" t="str">
        <f t="shared" si="26"/>
        <v/>
      </c>
      <c r="AS51" s="769"/>
      <c r="AT51" s="768" t="str">
        <f t="shared" si="27"/>
        <v/>
      </c>
      <c r="AU51" s="769"/>
      <c r="AV51" s="764" t="str">
        <f t="shared" si="28"/>
        <v/>
      </c>
      <c r="AW51" s="729"/>
      <c r="AX51" s="730"/>
      <c r="AY51" s="731"/>
      <c r="AZ51" s="731"/>
      <c r="BA51" s="731"/>
      <c r="BB51" s="731"/>
      <c r="BC51" s="733"/>
      <c r="BD51" s="734"/>
      <c r="BE51" s="734"/>
      <c r="BF51" s="734"/>
      <c r="BG51" s="734"/>
      <c r="BH51" s="734"/>
      <c r="BI51" s="734"/>
      <c r="BJ51" s="734"/>
      <c r="BK51" s="734"/>
      <c r="BL51" s="734"/>
      <c r="BM51" s="734"/>
      <c r="BN51" s="734"/>
      <c r="BO51" s="734"/>
      <c r="BP51" s="734"/>
    </row>
    <row r="52" spans="2:68" s="709" customFormat="1" x14ac:dyDescent="0.3">
      <c r="B52" s="664"/>
      <c r="C52" s="754"/>
      <c r="D52" s="755" t="str">
        <f t="shared" si="4"/>
        <v/>
      </c>
      <c r="E52" s="756" t="str">
        <f t="shared" si="5"/>
        <v/>
      </c>
      <c r="F52" s="757" t="str">
        <f t="shared" si="6"/>
        <v/>
      </c>
      <c r="G52" s="758" t="str">
        <f t="shared" si="13"/>
        <v/>
      </c>
      <c r="H52" s="758" t="str">
        <f t="shared" si="14"/>
        <v/>
      </c>
      <c r="I52" s="756" t="str">
        <f t="shared" si="7"/>
        <v/>
      </c>
      <c r="J52" s="759" t="str">
        <f t="shared" si="8"/>
        <v/>
      </c>
      <c r="K52" s="755" t="str">
        <f t="shared" si="9"/>
        <v/>
      </c>
      <c r="L52" s="758" t="str">
        <f t="shared" si="10"/>
        <v/>
      </c>
      <c r="M52" s="760" t="str">
        <f t="shared" si="11"/>
        <v/>
      </c>
      <c r="N52" s="761"/>
      <c r="O52" s="772"/>
      <c r="P52" s="763"/>
      <c r="Q52" s="764" t="str">
        <f t="shared" si="15"/>
        <v/>
      </c>
      <c r="R52" s="765"/>
      <c r="S52" s="763"/>
      <c r="T52" s="766" t="str">
        <f t="shared" si="12"/>
        <v/>
      </c>
      <c r="U52" s="767"/>
      <c r="V52" s="768" t="str">
        <f t="shared" si="16"/>
        <v/>
      </c>
      <c r="W52" s="769"/>
      <c r="X52" s="768" t="str">
        <f t="shared" si="17"/>
        <v/>
      </c>
      <c r="Y52" s="769"/>
      <c r="Z52" s="768" t="str">
        <f t="shared" si="18"/>
        <v/>
      </c>
      <c r="AA52" s="769"/>
      <c r="AB52" s="768" t="str">
        <f t="shared" si="19"/>
        <v/>
      </c>
      <c r="AC52" s="769"/>
      <c r="AD52" s="768" t="str">
        <f t="shared" si="20"/>
        <v/>
      </c>
      <c r="AE52" s="769"/>
      <c r="AF52" s="768" t="str">
        <f t="shared" si="21"/>
        <v/>
      </c>
      <c r="AG52" s="769"/>
      <c r="AH52" s="768" t="str">
        <f t="shared" si="22"/>
        <v/>
      </c>
      <c r="AI52" s="769"/>
      <c r="AJ52" s="770" t="str">
        <f t="shared" si="23"/>
        <v/>
      </c>
      <c r="AK52" s="763"/>
      <c r="AL52" s="771"/>
      <c r="AM52" s="763"/>
      <c r="AN52" s="768" t="str">
        <f t="shared" si="24"/>
        <v/>
      </c>
      <c r="AO52" s="769"/>
      <c r="AP52" s="768" t="str">
        <f t="shared" si="25"/>
        <v/>
      </c>
      <c r="AQ52" s="769"/>
      <c r="AR52" s="768" t="str">
        <f t="shared" si="26"/>
        <v/>
      </c>
      <c r="AS52" s="769"/>
      <c r="AT52" s="768" t="str">
        <f t="shared" si="27"/>
        <v/>
      </c>
      <c r="AU52" s="769"/>
      <c r="AV52" s="764" t="str">
        <f t="shared" si="28"/>
        <v/>
      </c>
      <c r="AW52" s="729"/>
      <c r="AX52" s="730"/>
      <c r="AY52" s="731"/>
      <c r="AZ52" s="731"/>
      <c r="BA52" s="731"/>
      <c r="BB52" s="731"/>
      <c r="BC52" s="733"/>
      <c r="BD52" s="734"/>
      <c r="BE52" s="734"/>
      <c r="BF52" s="734"/>
      <c r="BG52" s="734"/>
      <c r="BH52" s="734"/>
      <c r="BI52" s="734"/>
      <c r="BJ52" s="734"/>
      <c r="BK52" s="734"/>
      <c r="BL52" s="734"/>
      <c r="BM52" s="734"/>
      <c r="BN52" s="734"/>
      <c r="BO52" s="734"/>
      <c r="BP52" s="734"/>
    </row>
    <row r="53" spans="2:68" s="709" customFormat="1" x14ac:dyDescent="0.3">
      <c r="B53" s="664"/>
      <c r="C53" s="754"/>
      <c r="D53" s="755" t="str">
        <f t="shared" si="4"/>
        <v/>
      </c>
      <c r="E53" s="756" t="str">
        <f t="shared" si="5"/>
        <v/>
      </c>
      <c r="F53" s="757" t="str">
        <f t="shared" si="6"/>
        <v/>
      </c>
      <c r="G53" s="758" t="str">
        <f t="shared" si="13"/>
        <v/>
      </c>
      <c r="H53" s="758" t="str">
        <f t="shared" si="14"/>
        <v/>
      </c>
      <c r="I53" s="756" t="str">
        <f t="shared" si="7"/>
        <v/>
      </c>
      <c r="J53" s="759" t="str">
        <f t="shared" si="8"/>
        <v/>
      </c>
      <c r="K53" s="755" t="str">
        <f t="shared" si="9"/>
        <v/>
      </c>
      <c r="L53" s="758" t="str">
        <f t="shared" si="10"/>
        <v/>
      </c>
      <c r="M53" s="760" t="str">
        <f t="shared" si="11"/>
        <v/>
      </c>
      <c r="N53" s="668"/>
      <c r="O53" s="762"/>
      <c r="P53" s="763"/>
      <c r="Q53" s="764" t="str">
        <f t="shared" si="15"/>
        <v/>
      </c>
      <c r="R53" s="765"/>
      <c r="S53" s="763"/>
      <c r="T53" s="766" t="str">
        <f t="shared" si="12"/>
        <v/>
      </c>
      <c r="U53" s="767"/>
      <c r="V53" s="768" t="str">
        <f t="shared" si="16"/>
        <v/>
      </c>
      <c r="W53" s="769"/>
      <c r="X53" s="768" t="str">
        <f t="shared" si="17"/>
        <v/>
      </c>
      <c r="Y53" s="769"/>
      <c r="Z53" s="768" t="str">
        <f t="shared" si="18"/>
        <v/>
      </c>
      <c r="AA53" s="769"/>
      <c r="AB53" s="768" t="str">
        <f t="shared" si="19"/>
        <v/>
      </c>
      <c r="AC53" s="769"/>
      <c r="AD53" s="768" t="str">
        <f t="shared" si="20"/>
        <v/>
      </c>
      <c r="AE53" s="769"/>
      <c r="AF53" s="768" t="str">
        <f t="shared" si="21"/>
        <v/>
      </c>
      <c r="AG53" s="769"/>
      <c r="AH53" s="768" t="str">
        <f t="shared" si="22"/>
        <v/>
      </c>
      <c r="AI53" s="769"/>
      <c r="AJ53" s="770" t="str">
        <f t="shared" si="23"/>
        <v/>
      </c>
      <c r="AK53" s="763"/>
      <c r="AL53" s="771"/>
      <c r="AM53" s="763"/>
      <c r="AN53" s="768" t="str">
        <f t="shared" si="24"/>
        <v/>
      </c>
      <c r="AO53" s="769"/>
      <c r="AP53" s="768" t="str">
        <f t="shared" si="25"/>
        <v/>
      </c>
      <c r="AQ53" s="769"/>
      <c r="AR53" s="768" t="str">
        <f t="shared" si="26"/>
        <v/>
      </c>
      <c r="AS53" s="769"/>
      <c r="AT53" s="768" t="str">
        <f t="shared" si="27"/>
        <v/>
      </c>
      <c r="AU53" s="769"/>
      <c r="AV53" s="764" t="str">
        <f t="shared" si="28"/>
        <v/>
      </c>
      <c r="AW53" s="729"/>
      <c r="AX53" s="730"/>
      <c r="AY53" s="731"/>
      <c r="AZ53" s="731"/>
      <c r="BA53" s="731"/>
      <c r="BB53" s="731"/>
      <c r="BC53" s="733"/>
      <c r="BD53" s="734"/>
      <c r="BE53" s="734"/>
      <c r="BF53" s="734"/>
      <c r="BG53" s="734"/>
      <c r="BH53" s="734"/>
      <c r="BI53" s="734"/>
      <c r="BJ53" s="734"/>
      <c r="BK53" s="734"/>
      <c r="BL53" s="734"/>
      <c r="BM53" s="734"/>
      <c r="BN53" s="734"/>
      <c r="BO53" s="734"/>
      <c r="BP53" s="734"/>
    </row>
    <row r="54" spans="2:68" s="709" customFormat="1" x14ac:dyDescent="0.3">
      <c r="B54" s="664"/>
      <c r="C54" s="754"/>
      <c r="D54" s="755" t="str">
        <f t="shared" si="4"/>
        <v/>
      </c>
      <c r="E54" s="756" t="str">
        <f t="shared" si="5"/>
        <v/>
      </c>
      <c r="F54" s="757" t="str">
        <f t="shared" si="6"/>
        <v/>
      </c>
      <c r="G54" s="758" t="str">
        <f t="shared" si="13"/>
        <v/>
      </c>
      <c r="H54" s="758" t="str">
        <f t="shared" si="14"/>
        <v/>
      </c>
      <c r="I54" s="756" t="str">
        <f t="shared" si="7"/>
        <v/>
      </c>
      <c r="J54" s="759" t="str">
        <f t="shared" si="8"/>
        <v/>
      </c>
      <c r="K54" s="755" t="str">
        <f t="shared" si="9"/>
        <v/>
      </c>
      <c r="L54" s="758" t="str">
        <f t="shared" si="10"/>
        <v/>
      </c>
      <c r="M54" s="760" t="str">
        <f t="shared" si="11"/>
        <v/>
      </c>
      <c r="N54" s="668"/>
      <c r="O54" s="772"/>
      <c r="P54" s="763"/>
      <c r="Q54" s="764" t="str">
        <f t="shared" si="15"/>
        <v/>
      </c>
      <c r="R54" s="765"/>
      <c r="S54" s="763"/>
      <c r="T54" s="766" t="str">
        <f t="shared" si="12"/>
        <v/>
      </c>
      <c r="U54" s="767"/>
      <c r="V54" s="768" t="str">
        <f t="shared" si="16"/>
        <v/>
      </c>
      <c r="W54" s="769"/>
      <c r="X54" s="768" t="str">
        <f t="shared" si="17"/>
        <v/>
      </c>
      <c r="Y54" s="769"/>
      <c r="Z54" s="768" t="str">
        <f t="shared" si="18"/>
        <v/>
      </c>
      <c r="AA54" s="769"/>
      <c r="AB54" s="768" t="str">
        <f t="shared" si="19"/>
        <v/>
      </c>
      <c r="AC54" s="769"/>
      <c r="AD54" s="768" t="str">
        <f t="shared" si="20"/>
        <v/>
      </c>
      <c r="AE54" s="769"/>
      <c r="AF54" s="768" t="str">
        <f t="shared" si="21"/>
        <v/>
      </c>
      <c r="AG54" s="769"/>
      <c r="AH54" s="768" t="str">
        <f t="shared" si="22"/>
        <v/>
      </c>
      <c r="AI54" s="769"/>
      <c r="AJ54" s="770" t="str">
        <f t="shared" si="23"/>
        <v/>
      </c>
      <c r="AK54" s="763"/>
      <c r="AL54" s="771"/>
      <c r="AM54" s="763"/>
      <c r="AN54" s="768" t="str">
        <f t="shared" si="24"/>
        <v/>
      </c>
      <c r="AO54" s="769"/>
      <c r="AP54" s="768" t="str">
        <f t="shared" si="25"/>
        <v/>
      </c>
      <c r="AQ54" s="769"/>
      <c r="AR54" s="768" t="str">
        <f t="shared" si="26"/>
        <v/>
      </c>
      <c r="AS54" s="769"/>
      <c r="AT54" s="768" t="str">
        <f t="shared" si="27"/>
        <v/>
      </c>
      <c r="AU54" s="769"/>
      <c r="AV54" s="764" t="str">
        <f t="shared" si="28"/>
        <v/>
      </c>
      <c r="AW54" s="729"/>
      <c r="AX54" s="730"/>
      <c r="AY54" s="731"/>
      <c r="AZ54" s="731"/>
      <c r="BA54" s="731"/>
      <c r="BB54" s="731"/>
      <c r="BC54" s="733"/>
      <c r="BD54" s="734"/>
      <c r="BE54" s="734"/>
      <c r="BF54" s="734"/>
      <c r="BG54" s="734"/>
      <c r="BH54" s="734"/>
      <c r="BI54" s="734"/>
      <c r="BJ54" s="734"/>
      <c r="BK54" s="734"/>
      <c r="BL54" s="734"/>
      <c r="BM54" s="734"/>
      <c r="BN54" s="734"/>
      <c r="BO54" s="734"/>
      <c r="BP54" s="734"/>
    </row>
    <row r="55" spans="2:68" s="709" customFormat="1" x14ac:dyDescent="0.3">
      <c r="B55" s="664"/>
      <c r="C55" s="754"/>
      <c r="D55" s="755" t="str">
        <f t="shared" si="4"/>
        <v/>
      </c>
      <c r="E55" s="756" t="str">
        <f t="shared" si="5"/>
        <v/>
      </c>
      <c r="F55" s="757" t="str">
        <f t="shared" si="6"/>
        <v/>
      </c>
      <c r="G55" s="758" t="str">
        <f t="shared" si="13"/>
        <v/>
      </c>
      <c r="H55" s="758" t="str">
        <f t="shared" si="14"/>
        <v/>
      </c>
      <c r="I55" s="756" t="str">
        <f t="shared" si="7"/>
        <v/>
      </c>
      <c r="J55" s="759" t="str">
        <f t="shared" si="8"/>
        <v/>
      </c>
      <c r="K55" s="755" t="str">
        <f t="shared" si="9"/>
        <v/>
      </c>
      <c r="L55" s="758" t="str">
        <f t="shared" si="10"/>
        <v/>
      </c>
      <c r="M55" s="760" t="str">
        <f t="shared" si="11"/>
        <v/>
      </c>
      <c r="N55" s="668"/>
      <c r="O55" s="762"/>
      <c r="P55" s="763"/>
      <c r="Q55" s="764" t="str">
        <f t="shared" si="15"/>
        <v/>
      </c>
      <c r="R55" s="765"/>
      <c r="S55" s="763"/>
      <c r="T55" s="766" t="str">
        <f t="shared" si="12"/>
        <v/>
      </c>
      <c r="U55" s="767"/>
      <c r="V55" s="768" t="str">
        <f t="shared" si="16"/>
        <v/>
      </c>
      <c r="W55" s="769"/>
      <c r="X55" s="768" t="str">
        <f t="shared" si="17"/>
        <v/>
      </c>
      <c r="Y55" s="769"/>
      <c r="Z55" s="768" t="str">
        <f t="shared" si="18"/>
        <v/>
      </c>
      <c r="AA55" s="769"/>
      <c r="AB55" s="768" t="str">
        <f t="shared" si="19"/>
        <v/>
      </c>
      <c r="AC55" s="769"/>
      <c r="AD55" s="768" t="str">
        <f t="shared" si="20"/>
        <v/>
      </c>
      <c r="AE55" s="769"/>
      <c r="AF55" s="768" t="str">
        <f t="shared" si="21"/>
        <v/>
      </c>
      <c r="AG55" s="769"/>
      <c r="AH55" s="768" t="str">
        <f t="shared" si="22"/>
        <v/>
      </c>
      <c r="AI55" s="769"/>
      <c r="AJ55" s="770" t="str">
        <f t="shared" si="23"/>
        <v/>
      </c>
      <c r="AK55" s="763"/>
      <c r="AL55" s="771"/>
      <c r="AM55" s="763"/>
      <c r="AN55" s="768" t="str">
        <f t="shared" si="24"/>
        <v/>
      </c>
      <c r="AO55" s="769"/>
      <c r="AP55" s="768" t="str">
        <f t="shared" si="25"/>
        <v/>
      </c>
      <c r="AQ55" s="769"/>
      <c r="AR55" s="768" t="str">
        <f t="shared" si="26"/>
        <v/>
      </c>
      <c r="AS55" s="769"/>
      <c r="AT55" s="768" t="str">
        <f t="shared" si="27"/>
        <v/>
      </c>
      <c r="AU55" s="769"/>
      <c r="AV55" s="764" t="str">
        <f t="shared" si="28"/>
        <v/>
      </c>
      <c r="AW55" s="729"/>
      <c r="AX55" s="730"/>
      <c r="AY55" s="731"/>
      <c r="AZ55" s="731"/>
      <c r="BA55" s="731"/>
      <c r="BB55" s="731"/>
      <c r="BC55" s="733"/>
      <c r="BD55" s="734"/>
      <c r="BE55" s="734"/>
      <c r="BF55" s="734"/>
      <c r="BG55" s="734"/>
      <c r="BH55" s="734"/>
      <c r="BI55" s="734"/>
      <c r="BJ55" s="734"/>
      <c r="BK55" s="734"/>
      <c r="BL55" s="734"/>
      <c r="BM55" s="734"/>
      <c r="BN55" s="734"/>
      <c r="BO55" s="734"/>
      <c r="BP55" s="734"/>
    </row>
    <row r="56" spans="2:68" s="709" customFormat="1" x14ac:dyDescent="0.3">
      <c r="B56" s="664"/>
      <c r="C56" s="754"/>
      <c r="D56" s="755" t="str">
        <f t="shared" si="4"/>
        <v/>
      </c>
      <c r="E56" s="756" t="str">
        <f t="shared" si="5"/>
        <v/>
      </c>
      <c r="F56" s="757" t="str">
        <f t="shared" si="6"/>
        <v/>
      </c>
      <c r="G56" s="758" t="str">
        <f t="shared" si="13"/>
        <v/>
      </c>
      <c r="H56" s="758" t="str">
        <f t="shared" si="14"/>
        <v/>
      </c>
      <c r="I56" s="756" t="str">
        <f t="shared" si="7"/>
        <v/>
      </c>
      <c r="J56" s="759" t="str">
        <f t="shared" si="8"/>
        <v/>
      </c>
      <c r="K56" s="755" t="str">
        <f t="shared" si="9"/>
        <v/>
      </c>
      <c r="L56" s="758" t="str">
        <f t="shared" si="10"/>
        <v/>
      </c>
      <c r="M56" s="760" t="str">
        <f t="shared" si="11"/>
        <v/>
      </c>
      <c r="N56" s="668"/>
      <c r="O56" s="772"/>
      <c r="P56" s="763"/>
      <c r="Q56" s="764" t="str">
        <f t="shared" si="15"/>
        <v/>
      </c>
      <c r="R56" s="765"/>
      <c r="S56" s="763"/>
      <c r="T56" s="766" t="str">
        <f t="shared" si="12"/>
        <v/>
      </c>
      <c r="U56" s="767"/>
      <c r="V56" s="768" t="str">
        <f t="shared" si="16"/>
        <v/>
      </c>
      <c r="W56" s="769"/>
      <c r="X56" s="768" t="str">
        <f t="shared" si="17"/>
        <v/>
      </c>
      <c r="Y56" s="769"/>
      <c r="Z56" s="768" t="str">
        <f t="shared" si="18"/>
        <v/>
      </c>
      <c r="AA56" s="769"/>
      <c r="AB56" s="768" t="str">
        <f t="shared" si="19"/>
        <v/>
      </c>
      <c r="AC56" s="769"/>
      <c r="AD56" s="768" t="str">
        <f t="shared" si="20"/>
        <v/>
      </c>
      <c r="AE56" s="769"/>
      <c r="AF56" s="768" t="str">
        <f t="shared" si="21"/>
        <v/>
      </c>
      <c r="AG56" s="769"/>
      <c r="AH56" s="768" t="str">
        <f t="shared" si="22"/>
        <v/>
      </c>
      <c r="AI56" s="769"/>
      <c r="AJ56" s="770" t="str">
        <f t="shared" si="23"/>
        <v/>
      </c>
      <c r="AK56" s="763"/>
      <c r="AL56" s="771"/>
      <c r="AM56" s="763"/>
      <c r="AN56" s="768" t="str">
        <f t="shared" si="24"/>
        <v/>
      </c>
      <c r="AO56" s="769"/>
      <c r="AP56" s="768" t="str">
        <f t="shared" si="25"/>
        <v/>
      </c>
      <c r="AQ56" s="769"/>
      <c r="AR56" s="768" t="str">
        <f t="shared" si="26"/>
        <v/>
      </c>
      <c r="AS56" s="769"/>
      <c r="AT56" s="768" t="str">
        <f t="shared" si="27"/>
        <v/>
      </c>
      <c r="AU56" s="769"/>
      <c r="AV56" s="764" t="str">
        <f t="shared" si="28"/>
        <v/>
      </c>
      <c r="AW56" s="729"/>
      <c r="AX56" s="730"/>
      <c r="AY56" s="731"/>
      <c r="AZ56" s="731"/>
      <c r="BA56" s="731"/>
      <c r="BB56" s="731"/>
      <c r="BC56" s="733"/>
      <c r="BD56" s="734"/>
      <c r="BE56" s="734"/>
      <c r="BF56" s="734"/>
      <c r="BG56" s="734"/>
      <c r="BH56" s="734"/>
      <c r="BI56" s="734"/>
      <c r="BJ56" s="734"/>
      <c r="BK56" s="734"/>
      <c r="BL56" s="734"/>
      <c r="BM56" s="734"/>
      <c r="BN56" s="734"/>
      <c r="BO56" s="734"/>
      <c r="BP56" s="734"/>
    </row>
    <row r="57" spans="2:68" s="709" customFormat="1" x14ac:dyDescent="0.3">
      <c r="B57" s="664"/>
      <c r="C57" s="754"/>
      <c r="D57" s="755" t="str">
        <f t="shared" si="4"/>
        <v/>
      </c>
      <c r="E57" s="756" t="str">
        <f t="shared" si="5"/>
        <v/>
      </c>
      <c r="F57" s="757" t="str">
        <f t="shared" si="6"/>
        <v/>
      </c>
      <c r="G57" s="758" t="str">
        <f t="shared" si="13"/>
        <v/>
      </c>
      <c r="H57" s="758" t="str">
        <f t="shared" si="14"/>
        <v/>
      </c>
      <c r="I57" s="756" t="str">
        <f t="shared" si="7"/>
        <v/>
      </c>
      <c r="J57" s="759" t="str">
        <f t="shared" si="8"/>
        <v/>
      </c>
      <c r="K57" s="755" t="str">
        <f t="shared" si="9"/>
        <v/>
      </c>
      <c r="L57" s="758" t="str">
        <f t="shared" si="10"/>
        <v/>
      </c>
      <c r="M57" s="760" t="str">
        <f t="shared" si="11"/>
        <v/>
      </c>
      <c r="N57" s="668"/>
      <c r="O57" s="772"/>
      <c r="P57" s="763"/>
      <c r="Q57" s="764" t="str">
        <f t="shared" si="15"/>
        <v/>
      </c>
      <c r="R57" s="765"/>
      <c r="S57" s="763"/>
      <c r="T57" s="766" t="str">
        <f t="shared" si="12"/>
        <v/>
      </c>
      <c r="U57" s="767"/>
      <c r="V57" s="768" t="str">
        <f t="shared" si="16"/>
        <v/>
      </c>
      <c r="W57" s="769"/>
      <c r="X57" s="768" t="str">
        <f t="shared" si="17"/>
        <v/>
      </c>
      <c r="Y57" s="769"/>
      <c r="Z57" s="768" t="str">
        <f t="shared" si="18"/>
        <v/>
      </c>
      <c r="AA57" s="769"/>
      <c r="AB57" s="768" t="str">
        <f t="shared" si="19"/>
        <v/>
      </c>
      <c r="AC57" s="769"/>
      <c r="AD57" s="768" t="str">
        <f t="shared" si="20"/>
        <v/>
      </c>
      <c r="AE57" s="769"/>
      <c r="AF57" s="768" t="str">
        <f t="shared" si="21"/>
        <v/>
      </c>
      <c r="AG57" s="769"/>
      <c r="AH57" s="768" t="str">
        <f t="shared" si="22"/>
        <v/>
      </c>
      <c r="AI57" s="769"/>
      <c r="AJ57" s="770" t="str">
        <f t="shared" si="23"/>
        <v/>
      </c>
      <c r="AK57" s="763"/>
      <c r="AL57" s="771"/>
      <c r="AM57" s="763"/>
      <c r="AN57" s="768" t="str">
        <f t="shared" si="24"/>
        <v/>
      </c>
      <c r="AO57" s="769"/>
      <c r="AP57" s="768" t="str">
        <f t="shared" si="25"/>
        <v/>
      </c>
      <c r="AQ57" s="769"/>
      <c r="AR57" s="768" t="str">
        <f t="shared" si="26"/>
        <v/>
      </c>
      <c r="AS57" s="769"/>
      <c r="AT57" s="768" t="str">
        <f t="shared" si="27"/>
        <v/>
      </c>
      <c r="AU57" s="769"/>
      <c r="AV57" s="764" t="str">
        <f t="shared" si="28"/>
        <v/>
      </c>
      <c r="AW57" s="729"/>
      <c r="AX57" s="730"/>
      <c r="AY57" s="731"/>
      <c r="AZ57" s="731"/>
      <c r="BA57" s="731"/>
      <c r="BB57" s="731"/>
      <c r="BC57" s="733"/>
      <c r="BD57" s="734"/>
      <c r="BE57" s="734"/>
      <c r="BF57" s="734"/>
      <c r="BG57" s="734"/>
      <c r="BH57" s="734"/>
      <c r="BI57" s="734"/>
      <c r="BJ57" s="734"/>
      <c r="BK57" s="734"/>
      <c r="BL57" s="734"/>
      <c r="BM57" s="734"/>
      <c r="BN57" s="734"/>
      <c r="BO57" s="734"/>
      <c r="BP57" s="734"/>
    </row>
    <row r="58" spans="2:68" s="709" customFormat="1" x14ac:dyDescent="0.3">
      <c r="B58" s="664"/>
      <c r="C58" s="754"/>
      <c r="D58" s="755" t="str">
        <f t="shared" si="4"/>
        <v/>
      </c>
      <c r="E58" s="756" t="str">
        <f t="shared" si="5"/>
        <v/>
      </c>
      <c r="F58" s="757" t="str">
        <f t="shared" si="6"/>
        <v/>
      </c>
      <c r="G58" s="758" t="str">
        <f t="shared" si="13"/>
        <v/>
      </c>
      <c r="H58" s="758" t="str">
        <f t="shared" si="14"/>
        <v/>
      </c>
      <c r="I58" s="756" t="str">
        <f t="shared" si="7"/>
        <v/>
      </c>
      <c r="J58" s="759" t="str">
        <f t="shared" si="8"/>
        <v/>
      </c>
      <c r="K58" s="755" t="str">
        <f t="shared" si="9"/>
        <v/>
      </c>
      <c r="L58" s="758" t="str">
        <f t="shared" si="10"/>
        <v/>
      </c>
      <c r="M58" s="760" t="str">
        <f t="shared" si="11"/>
        <v/>
      </c>
      <c r="N58" s="668"/>
      <c r="O58" s="772"/>
      <c r="P58" s="763"/>
      <c r="Q58" s="764" t="str">
        <f t="shared" si="15"/>
        <v/>
      </c>
      <c r="R58" s="765"/>
      <c r="S58" s="763"/>
      <c r="T58" s="766" t="str">
        <f t="shared" si="12"/>
        <v/>
      </c>
      <c r="U58" s="767"/>
      <c r="V58" s="768" t="str">
        <f t="shared" si="16"/>
        <v/>
      </c>
      <c r="W58" s="769"/>
      <c r="X58" s="768" t="str">
        <f t="shared" si="17"/>
        <v/>
      </c>
      <c r="Y58" s="769"/>
      <c r="Z58" s="768" t="str">
        <f t="shared" si="18"/>
        <v/>
      </c>
      <c r="AA58" s="769"/>
      <c r="AB58" s="768" t="str">
        <f t="shared" si="19"/>
        <v/>
      </c>
      <c r="AC58" s="769"/>
      <c r="AD58" s="768" t="str">
        <f t="shared" si="20"/>
        <v/>
      </c>
      <c r="AE58" s="769"/>
      <c r="AF58" s="768" t="str">
        <f t="shared" si="21"/>
        <v/>
      </c>
      <c r="AG58" s="769"/>
      <c r="AH58" s="768" t="str">
        <f t="shared" si="22"/>
        <v/>
      </c>
      <c r="AI58" s="769"/>
      <c r="AJ58" s="770" t="str">
        <f t="shared" si="23"/>
        <v/>
      </c>
      <c r="AK58" s="763"/>
      <c r="AL58" s="771"/>
      <c r="AM58" s="763"/>
      <c r="AN58" s="768" t="str">
        <f t="shared" si="24"/>
        <v/>
      </c>
      <c r="AO58" s="769"/>
      <c r="AP58" s="768" t="str">
        <f t="shared" si="25"/>
        <v/>
      </c>
      <c r="AQ58" s="769"/>
      <c r="AR58" s="768" t="str">
        <f t="shared" si="26"/>
        <v/>
      </c>
      <c r="AS58" s="769"/>
      <c r="AT58" s="768" t="str">
        <f t="shared" si="27"/>
        <v/>
      </c>
      <c r="AU58" s="769"/>
      <c r="AV58" s="764" t="str">
        <f t="shared" si="28"/>
        <v/>
      </c>
      <c r="AW58" s="729"/>
      <c r="AX58" s="730"/>
      <c r="AY58" s="731"/>
      <c r="AZ58" s="731"/>
      <c r="BA58" s="731"/>
      <c r="BB58" s="731"/>
      <c r="BC58" s="733"/>
      <c r="BD58" s="734"/>
      <c r="BE58" s="734"/>
      <c r="BF58" s="734"/>
      <c r="BG58" s="734"/>
      <c r="BH58" s="734"/>
      <c r="BI58" s="734"/>
      <c r="BJ58" s="734"/>
      <c r="BK58" s="734"/>
      <c r="BL58" s="734"/>
      <c r="BM58" s="734"/>
      <c r="BN58" s="734"/>
      <c r="BO58" s="734"/>
      <c r="BP58" s="734"/>
    </row>
    <row r="59" spans="2:68" s="709" customFormat="1" x14ac:dyDescent="0.3">
      <c r="B59" s="664"/>
      <c r="C59" s="754"/>
      <c r="D59" s="755" t="str">
        <f t="shared" si="4"/>
        <v/>
      </c>
      <c r="E59" s="756" t="str">
        <f t="shared" si="5"/>
        <v/>
      </c>
      <c r="F59" s="757" t="str">
        <f t="shared" si="6"/>
        <v/>
      </c>
      <c r="G59" s="758" t="str">
        <f t="shared" si="13"/>
        <v/>
      </c>
      <c r="H59" s="758" t="str">
        <f t="shared" si="14"/>
        <v/>
      </c>
      <c r="I59" s="756" t="str">
        <f t="shared" si="7"/>
        <v/>
      </c>
      <c r="J59" s="759" t="str">
        <f t="shared" si="8"/>
        <v/>
      </c>
      <c r="K59" s="755" t="str">
        <f t="shared" si="9"/>
        <v/>
      </c>
      <c r="L59" s="758" t="str">
        <f t="shared" si="10"/>
        <v/>
      </c>
      <c r="M59" s="760" t="str">
        <f t="shared" si="11"/>
        <v/>
      </c>
      <c r="N59" s="668"/>
      <c r="O59" s="772"/>
      <c r="P59" s="763"/>
      <c r="Q59" s="764" t="str">
        <f t="shared" si="15"/>
        <v/>
      </c>
      <c r="R59" s="765"/>
      <c r="S59" s="763"/>
      <c r="T59" s="766" t="str">
        <f t="shared" si="12"/>
        <v/>
      </c>
      <c r="U59" s="767"/>
      <c r="V59" s="768" t="str">
        <f t="shared" si="16"/>
        <v/>
      </c>
      <c r="W59" s="769"/>
      <c r="X59" s="768" t="str">
        <f t="shared" si="17"/>
        <v/>
      </c>
      <c r="Y59" s="769"/>
      <c r="Z59" s="768" t="str">
        <f t="shared" si="18"/>
        <v/>
      </c>
      <c r="AA59" s="769"/>
      <c r="AB59" s="768" t="str">
        <f t="shared" si="19"/>
        <v/>
      </c>
      <c r="AC59" s="769"/>
      <c r="AD59" s="768" t="str">
        <f t="shared" si="20"/>
        <v/>
      </c>
      <c r="AE59" s="769"/>
      <c r="AF59" s="768" t="str">
        <f t="shared" si="21"/>
        <v/>
      </c>
      <c r="AG59" s="769"/>
      <c r="AH59" s="768" t="str">
        <f t="shared" si="22"/>
        <v/>
      </c>
      <c r="AI59" s="769"/>
      <c r="AJ59" s="770" t="str">
        <f t="shared" si="23"/>
        <v/>
      </c>
      <c r="AK59" s="763"/>
      <c r="AL59" s="771"/>
      <c r="AM59" s="763"/>
      <c r="AN59" s="768" t="str">
        <f t="shared" si="24"/>
        <v/>
      </c>
      <c r="AO59" s="769"/>
      <c r="AP59" s="768" t="str">
        <f t="shared" si="25"/>
        <v/>
      </c>
      <c r="AQ59" s="769"/>
      <c r="AR59" s="768" t="str">
        <f t="shared" si="26"/>
        <v/>
      </c>
      <c r="AS59" s="769"/>
      <c r="AT59" s="768" t="str">
        <f t="shared" si="27"/>
        <v/>
      </c>
      <c r="AU59" s="769"/>
      <c r="AV59" s="764" t="str">
        <f t="shared" si="28"/>
        <v/>
      </c>
      <c r="AW59" s="729"/>
      <c r="AX59" s="730"/>
      <c r="AY59" s="731"/>
      <c r="AZ59" s="731"/>
      <c r="BA59" s="731"/>
      <c r="BB59" s="731"/>
      <c r="BC59" s="733"/>
      <c r="BD59" s="734"/>
      <c r="BE59" s="734"/>
      <c r="BF59" s="734"/>
      <c r="BG59" s="734"/>
      <c r="BH59" s="734"/>
      <c r="BI59" s="734"/>
      <c r="BJ59" s="734"/>
      <c r="BK59" s="734"/>
      <c r="BL59" s="734"/>
      <c r="BM59" s="734"/>
      <c r="BN59" s="734"/>
      <c r="BO59" s="734"/>
      <c r="BP59" s="734"/>
    </row>
    <row r="60" spans="2:68" s="709" customFormat="1" x14ac:dyDescent="0.3">
      <c r="B60" s="664"/>
      <c r="C60" s="773"/>
      <c r="D60" s="755" t="str">
        <f t="shared" si="4"/>
        <v/>
      </c>
      <c r="E60" s="756" t="str">
        <f t="shared" si="5"/>
        <v/>
      </c>
      <c r="F60" s="757" t="str">
        <f t="shared" si="6"/>
        <v/>
      </c>
      <c r="G60" s="758" t="str">
        <f t="shared" si="13"/>
        <v/>
      </c>
      <c r="H60" s="758" t="str">
        <f t="shared" si="14"/>
        <v/>
      </c>
      <c r="I60" s="756" t="str">
        <f t="shared" si="7"/>
        <v/>
      </c>
      <c r="J60" s="759" t="str">
        <f t="shared" si="8"/>
        <v/>
      </c>
      <c r="K60" s="755" t="str">
        <f t="shared" si="9"/>
        <v/>
      </c>
      <c r="L60" s="758" t="str">
        <f t="shared" si="10"/>
        <v/>
      </c>
      <c r="M60" s="760" t="str">
        <f t="shared" si="11"/>
        <v/>
      </c>
      <c r="N60" s="668"/>
      <c r="O60" s="772"/>
      <c r="P60" s="763"/>
      <c r="Q60" s="764" t="str">
        <f t="shared" si="15"/>
        <v/>
      </c>
      <c r="R60" s="765"/>
      <c r="S60" s="763"/>
      <c r="T60" s="766" t="str">
        <f t="shared" si="12"/>
        <v/>
      </c>
      <c r="U60" s="767"/>
      <c r="V60" s="768" t="str">
        <f t="shared" si="16"/>
        <v/>
      </c>
      <c r="W60" s="769"/>
      <c r="X60" s="768" t="str">
        <f t="shared" si="17"/>
        <v/>
      </c>
      <c r="Y60" s="769"/>
      <c r="Z60" s="768" t="str">
        <f t="shared" si="18"/>
        <v/>
      </c>
      <c r="AA60" s="769"/>
      <c r="AB60" s="768" t="str">
        <f t="shared" si="19"/>
        <v/>
      </c>
      <c r="AC60" s="769"/>
      <c r="AD60" s="768" t="str">
        <f t="shared" si="20"/>
        <v/>
      </c>
      <c r="AE60" s="769"/>
      <c r="AF60" s="768" t="str">
        <f t="shared" si="21"/>
        <v/>
      </c>
      <c r="AG60" s="769"/>
      <c r="AH60" s="768" t="str">
        <f t="shared" si="22"/>
        <v/>
      </c>
      <c r="AI60" s="769"/>
      <c r="AJ60" s="770" t="str">
        <f t="shared" si="23"/>
        <v/>
      </c>
      <c r="AK60" s="763"/>
      <c r="AL60" s="771"/>
      <c r="AM60" s="763"/>
      <c r="AN60" s="768" t="str">
        <f t="shared" si="24"/>
        <v/>
      </c>
      <c r="AO60" s="769"/>
      <c r="AP60" s="768" t="str">
        <f t="shared" si="25"/>
        <v/>
      </c>
      <c r="AQ60" s="769"/>
      <c r="AR60" s="768" t="str">
        <f t="shared" si="26"/>
        <v/>
      </c>
      <c r="AS60" s="769"/>
      <c r="AT60" s="768" t="str">
        <f t="shared" si="27"/>
        <v/>
      </c>
      <c r="AU60" s="769"/>
      <c r="AV60" s="764" t="str">
        <f t="shared" si="28"/>
        <v/>
      </c>
      <c r="AW60" s="729"/>
      <c r="AX60" s="730"/>
      <c r="AY60" s="731"/>
      <c r="AZ60" s="731"/>
      <c r="BA60" s="731"/>
      <c r="BB60" s="731"/>
      <c r="BC60" s="733"/>
      <c r="BD60" s="734"/>
      <c r="BE60" s="734"/>
      <c r="BF60" s="734"/>
      <c r="BG60" s="734"/>
      <c r="BH60" s="734"/>
      <c r="BI60" s="734"/>
      <c r="BJ60" s="734"/>
      <c r="BK60" s="734"/>
      <c r="BL60" s="734"/>
      <c r="BM60" s="734"/>
      <c r="BN60" s="734"/>
      <c r="BO60" s="734"/>
      <c r="BP60" s="734"/>
    </row>
    <row r="61" spans="2:68" s="709" customFormat="1" x14ac:dyDescent="0.3">
      <c r="B61" s="664"/>
      <c r="C61" s="754"/>
      <c r="D61" s="755" t="str">
        <f t="shared" si="4"/>
        <v/>
      </c>
      <c r="E61" s="756" t="str">
        <f t="shared" si="5"/>
        <v/>
      </c>
      <c r="F61" s="757" t="str">
        <f t="shared" si="6"/>
        <v/>
      </c>
      <c r="G61" s="758" t="str">
        <f t="shared" si="13"/>
        <v/>
      </c>
      <c r="H61" s="758" t="str">
        <f t="shared" si="14"/>
        <v/>
      </c>
      <c r="I61" s="756" t="str">
        <f t="shared" si="7"/>
        <v/>
      </c>
      <c r="J61" s="759" t="str">
        <f t="shared" si="8"/>
        <v/>
      </c>
      <c r="K61" s="755" t="str">
        <f t="shared" si="9"/>
        <v/>
      </c>
      <c r="L61" s="758" t="str">
        <f t="shared" si="10"/>
        <v/>
      </c>
      <c r="M61" s="760" t="str">
        <f t="shared" si="11"/>
        <v/>
      </c>
      <c r="N61" s="668"/>
      <c r="O61" s="762"/>
      <c r="P61" s="763"/>
      <c r="Q61" s="764" t="str">
        <f t="shared" si="15"/>
        <v/>
      </c>
      <c r="R61" s="765"/>
      <c r="S61" s="763"/>
      <c r="T61" s="766" t="str">
        <f t="shared" si="12"/>
        <v/>
      </c>
      <c r="U61" s="767"/>
      <c r="V61" s="768" t="str">
        <f t="shared" si="16"/>
        <v/>
      </c>
      <c r="W61" s="769"/>
      <c r="X61" s="768" t="str">
        <f t="shared" si="17"/>
        <v/>
      </c>
      <c r="Y61" s="769"/>
      <c r="Z61" s="768" t="str">
        <f t="shared" si="18"/>
        <v/>
      </c>
      <c r="AA61" s="769"/>
      <c r="AB61" s="768" t="str">
        <f t="shared" si="19"/>
        <v/>
      </c>
      <c r="AC61" s="769"/>
      <c r="AD61" s="768" t="str">
        <f t="shared" si="20"/>
        <v/>
      </c>
      <c r="AE61" s="769"/>
      <c r="AF61" s="768" t="str">
        <f t="shared" si="21"/>
        <v/>
      </c>
      <c r="AG61" s="769"/>
      <c r="AH61" s="768" t="str">
        <f t="shared" si="22"/>
        <v/>
      </c>
      <c r="AI61" s="769"/>
      <c r="AJ61" s="770" t="str">
        <f t="shared" si="23"/>
        <v/>
      </c>
      <c r="AK61" s="763"/>
      <c r="AL61" s="771"/>
      <c r="AM61" s="763"/>
      <c r="AN61" s="768" t="str">
        <f t="shared" si="24"/>
        <v/>
      </c>
      <c r="AO61" s="769"/>
      <c r="AP61" s="768" t="str">
        <f t="shared" si="25"/>
        <v/>
      </c>
      <c r="AQ61" s="769"/>
      <c r="AR61" s="768" t="str">
        <f t="shared" si="26"/>
        <v/>
      </c>
      <c r="AS61" s="769"/>
      <c r="AT61" s="768" t="str">
        <f t="shared" si="27"/>
        <v/>
      </c>
      <c r="AU61" s="769"/>
      <c r="AV61" s="764" t="str">
        <f t="shared" si="28"/>
        <v/>
      </c>
      <c r="AW61" s="729"/>
      <c r="AX61" s="730"/>
      <c r="AY61" s="731"/>
      <c r="AZ61" s="731"/>
      <c r="BA61" s="731"/>
      <c r="BB61" s="731"/>
      <c r="BC61" s="733"/>
      <c r="BD61" s="734"/>
      <c r="BE61" s="734"/>
      <c r="BF61" s="734"/>
      <c r="BG61" s="734"/>
      <c r="BH61" s="734"/>
      <c r="BI61" s="734"/>
      <c r="BJ61" s="734"/>
      <c r="BK61" s="734"/>
      <c r="BL61" s="734"/>
      <c r="BM61" s="734"/>
      <c r="BN61" s="734"/>
      <c r="BO61" s="734"/>
      <c r="BP61" s="734"/>
    </row>
    <row r="62" spans="2:68" s="709" customFormat="1" x14ac:dyDescent="0.3">
      <c r="B62" s="664"/>
      <c r="C62" s="754"/>
      <c r="D62" s="755" t="str">
        <f t="shared" si="4"/>
        <v/>
      </c>
      <c r="E62" s="756" t="str">
        <f t="shared" si="5"/>
        <v/>
      </c>
      <c r="F62" s="757" t="str">
        <f t="shared" si="6"/>
        <v/>
      </c>
      <c r="G62" s="758" t="str">
        <f t="shared" si="13"/>
        <v/>
      </c>
      <c r="H62" s="758" t="str">
        <f t="shared" si="14"/>
        <v/>
      </c>
      <c r="I62" s="756" t="str">
        <f t="shared" si="7"/>
        <v/>
      </c>
      <c r="J62" s="759" t="str">
        <f t="shared" si="8"/>
        <v/>
      </c>
      <c r="K62" s="755" t="str">
        <f t="shared" si="9"/>
        <v/>
      </c>
      <c r="L62" s="758" t="str">
        <f t="shared" si="10"/>
        <v/>
      </c>
      <c r="M62" s="760" t="str">
        <f t="shared" si="11"/>
        <v/>
      </c>
      <c r="N62" s="668"/>
      <c r="O62" s="772"/>
      <c r="P62" s="763"/>
      <c r="Q62" s="764" t="str">
        <f t="shared" si="15"/>
        <v/>
      </c>
      <c r="R62" s="765"/>
      <c r="S62" s="763"/>
      <c r="T62" s="766" t="str">
        <f t="shared" si="12"/>
        <v/>
      </c>
      <c r="U62" s="767"/>
      <c r="V62" s="768" t="str">
        <f t="shared" si="16"/>
        <v/>
      </c>
      <c r="W62" s="769"/>
      <c r="X62" s="768" t="str">
        <f t="shared" si="17"/>
        <v/>
      </c>
      <c r="Y62" s="769"/>
      <c r="Z62" s="768" t="str">
        <f t="shared" si="18"/>
        <v/>
      </c>
      <c r="AA62" s="769"/>
      <c r="AB62" s="768" t="str">
        <f t="shared" si="19"/>
        <v/>
      </c>
      <c r="AC62" s="769"/>
      <c r="AD62" s="768" t="str">
        <f t="shared" si="20"/>
        <v/>
      </c>
      <c r="AE62" s="769"/>
      <c r="AF62" s="768" t="str">
        <f t="shared" si="21"/>
        <v/>
      </c>
      <c r="AG62" s="769"/>
      <c r="AH62" s="768" t="str">
        <f t="shared" si="22"/>
        <v/>
      </c>
      <c r="AI62" s="769"/>
      <c r="AJ62" s="770" t="str">
        <f t="shared" si="23"/>
        <v/>
      </c>
      <c r="AK62" s="763"/>
      <c r="AL62" s="771"/>
      <c r="AM62" s="763"/>
      <c r="AN62" s="768" t="str">
        <f t="shared" si="24"/>
        <v/>
      </c>
      <c r="AO62" s="769"/>
      <c r="AP62" s="768" t="str">
        <f t="shared" si="25"/>
        <v/>
      </c>
      <c r="AQ62" s="769"/>
      <c r="AR62" s="768" t="str">
        <f t="shared" si="26"/>
        <v/>
      </c>
      <c r="AS62" s="769"/>
      <c r="AT62" s="768" t="str">
        <f t="shared" si="27"/>
        <v/>
      </c>
      <c r="AU62" s="769"/>
      <c r="AV62" s="764" t="str">
        <f t="shared" si="28"/>
        <v/>
      </c>
      <c r="AW62" s="729"/>
      <c r="AX62" s="730"/>
      <c r="AY62" s="731"/>
      <c r="AZ62" s="731"/>
      <c r="BA62" s="731"/>
      <c r="BB62" s="731"/>
      <c r="BC62" s="733"/>
      <c r="BD62" s="734"/>
      <c r="BE62" s="734"/>
      <c r="BF62" s="734"/>
      <c r="BG62" s="734"/>
      <c r="BH62" s="734"/>
      <c r="BI62" s="734"/>
      <c r="BJ62" s="734"/>
      <c r="BK62" s="734"/>
      <c r="BL62" s="734"/>
      <c r="BM62" s="734"/>
      <c r="BN62" s="734"/>
      <c r="BO62" s="734"/>
      <c r="BP62" s="734"/>
    </row>
    <row r="63" spans="2:68" s="709" customFormat="1" x14ac:dyDescent="0.3">
      <c r="B63" s="664"/>
      <c r="C63" s="754"/>
      <c r="D63" s="755" t="str">
        <f t="shared" si="4"/>
        <v/>
      </c>
      <c r="E63" s="756" t="str">
        <f t="shared" si="5"/>
        <v/>
      </c>
      <c r="F63" s="757" t="str">
        <f t="shared" si="6"/>
        <v/>
      </c>
      <c r="G63" s="758" t="str">
        <f t="shared" si="13"/>
        <v/>
      </c>
      <c r="H63" s="758" t="str">
        <f t="shared" si="14"/>
        <v/>
      </c>
      <c r="I63" s="756" t="str">
        <f t="shared" si="7"/>
        <v/>
      </c>
      <c r="J63" s="759" t="str">
        <f t="shared" si="8"/>
        <v/>
      </c>
      <c r="K63" s="755" t="str">
        <f t="shared" si="9"/>
        <v/>
      </c>
      <c r="L63" s="758" t="str">
        <f t="shared" si="10"/>
        <v/>
      </c>
      <c r="M63" s="760" t="str">
        <f t="shared" si="11"/>
        <v/>
      </c>
      <c r="N63" s="668"/>
      <c r="O63" s="772"/>
      <c r="P63" s="763"/>
      <c r="Q63" s="764" t="str">
        <f t="shared" si="15"/>
        <v/>
      </c>
      <c r="R63" s="765"/>
      <c r="S63" s="763"/>
      <c r="T63" s="766" t="str">
        <f t="shared" si="12"/>
        <v/>
      </c>
      <c r="U63" s="767"/>
      <c r="V63" s="768" t="str">
        <f t="shared" si="16"/>
        <v/>
      </c>
      <c r="W63" s="769"/>
      <c r="X63" s="768" t="str">
        <f t="shared" si="17"/>
        <v/>
      </c>
      <c r="Y63" s="769"/>
      <c r="Z63" s="768" t="str">
        <f t="shared" si="18"/>
        <v/>
      </c>
      <c r="AA63" s="769"/>
      <c r="AB63" s="768" t="str">
        <f t="shared" si="19"/>
        <v/>
      </c>
      <c r="AC63" s="769"/>
      <c r="AD63" s="768" t="str">
        <f t="shared" si="20"/>
        <v/>
      </c>
      <c r="AE63" s="769"/>
      <c r="AF63" s="768" t="str">
        <f t="shared" si="21"/>
        <v/>
      </c>
      <c r="AG63" s="769"/>
      <c r="AH63" s="768" t="str">
        <f t="shared" si="22"/>
        <v/>
      </c>
      <c r="AI63" s="769"/>
      <c r="AJ63" s="770" t="str">
        <f t="shared" si="23"/>
        <v/>
      </c>
      <c r="AK63" s="763"/>
      <c r="AL63" s="771"/>
      <c r="AM63" s="763"/>
      <c r="AN63" s="768" t="str">
        <f t="shared" si="24"/>
        <v/>
      </c>
      <c r="AO63" s="769"/>
      <c r="AP63" s="768" t="str">
        <f t="shared" si="25"/>
        <v/>
      </c>
      <c r="AQ63" s="769"/>
      <c r="AR63" s="768" t="str">
        <f t="shared" si="26"/>
        <v/>
      </c>
      <c r="AS63" s="769"/>
      <c r="AT63" s="768" t="str">
        <f t="shared" si="27"/>
        <v/>
      </c>
      <c r="AU63" s="769"/>
      <c r="AV63" s="764" t="str">
        <f t="shared" si="28"/>
        <v/>
      </c>
      <c r="AW63" s="729"/>
      <c r="AX63" s="730"/>
      <c r="AY63" s="731"/>
      <c r="AZ63" s="731"/>
      <c r="BA63" s="731"/>
      <c r="BB63" s="731"/>
      <c r="BC63" s="733"/>
      <c r="BD63" s="734"/>
      <c r="BE63" s="734"/>
      <c r="BF63" s="734"/>
      <c r="BG63" s="734"/>
      <c r="BH63" s="734"/>
      <c r="BI63" s="734"/>
      <c r="BJ63" s="734"/>
      <c r="BK63" s="734"/>
      <c r="BL63" s="734"/>
      <c r="BM63" s="734"/>
      <c r="BN63" s="734"/>
      <c r="BO63" s="734"/>
      <c r="BP63" s="734"/>
    </row>
    <row r="64" spans="2:68" s="709" customFormat="1" x14ac:dyDescent="0.3">
      <c r="B64" s="664"/>
      <c r="C64" s="754"/>
      <c r="D64" s="755" t="str">
        <f t="shared" si="4"/>
        <v/>
      </c>
      <c r="E64" s="756" t="str">
        <f t="shared" si="5"/>
        <v/>
      </c>
      <c r="F64" s="757" t="str">
        <f t="shared" si="6"/>
        <v/>
      </c>
      <c r="G64" s="758" t="str">
        <f t="shared" si="13"/>
        <v/>
      </c>
      <c r="H64" s="758" t="str">
        <f t="shared" si="14"/>
        <v/>
      </c>
      <c r="I64" s="756" t="str">
        <f t="shared" si="7"/>
        <v/>
      </c>
      <c r="J64" s="759" t="str">
        <f t="shared" si="8"/>
        <v/>
      </c>
      <c r="K64" s="755" t="str">
        <f t="shared" si="9"/>
        <v/>
      </c>
      <c r="L64" s="758" t="str">
        <f t="shared" si="10"/>
        <v/>
      </c>
      <c r="M64" s="760" t="str">
        <f t="shared" si="11"/>
        <v/>
      </c>
      <c r="N64" s="668"/>
      <c r="O64" s="772"/>
      <c r="P64" s="763"/>
      <c r="Q64" s="764" t="str">
        <f t="shared" si="15"/>
        <v/>
      </c>
      <c r="R64" s="765"/>
      <c r="S64" s="763"/>
      <c r="T64" s="766" t="str">
        <f t="shared" si="12"/>
        <v/>
      </c>
      <c r="U64" s="767"/>
      <c r="V64" s="768" t="str">
        <f t="shared" si="16"/>
        <v/>
      </c>
      <c r="W64" s="769"/>
      <c r="X64" s="768" t="str">
        <f t="shared" si="17"/>
        <v/>
      </c>
      <c r="Y64" s="769"/>
      <c r="Z64" s="768" t="str">
        <f t="shared" si="18"/>
        <v/>
      </c>
      <c r="AA64" s="769"/>
      <c r="AB64" s="768" t="str">
        <f t="shared" si="19"/>
        <v/>
      </c>
      <c r="AC64" s="769"/>
      <c r="AD64" s="768" t="str">
        <f t="shared" si="20"/>
        <v/>
      </c>
      <c r="AE64" s="769"/>
      <c r="AF64" s="768" t="str">
        <f t="shared" si="21"/>
        <v/>
      </c>
      <c r="AG64" s="769"/>
      <c r="AH64" s="768" t="str">
        <f t="shared" si="22"/>
        <v/>
      </c>
      <c r="AI64" s="769"/>
      <c r="AJ64" s="770" t="str">
        <f t="shared" si="23"/>
        <v/>
      </c>
      <c r="AK64" s="763"/>
      <c r="AL64" s="771"/>
      <c r="AM64" s="763"/>
      <c r="AN64" s="768" t="str">
        <f t="shared" si="24"/>
        <v/>
      </c>
      <c r="AO64" s="769"/>
      <c r="AP64" s="768" t="str">
        <f t="shared" si="25"/>
        <v/>
      </c>
      <c r="AQ64" s="769"/>
      <c r="AR64" s="768" t="str">
        <f t="shared" si="26"/>
        <v/>
      </c>
      <c r="AS64" s="769"/>
      <c r="AT64" s="768" t="str">
        <f t="shared" si="27"/>
        <v/>
      </c>
      <c r="AU64" s="769"/>
      <c r="AV64" s="764" t="str">
        <f t="shared" si="28"/>
        <v/>
      </c>
      <c r="AW64" s="729"/>
      <c r="AX64" s="730"/>
      <c r="AY64" s="731"/>
      <c r="AZ64" s="731"/>
      <c r="BA64" s="731"/>
      <c r="BB64" s="731"/>
      <c r="BC64" s="733"/>
      <c r="BD64" s="734"/>
      <c r="BE64" s="734"/>
      <c r="BF64" s="734"/>
      <c r="BG64" s="734"/>
      <c r="BH64" s="734"/>
      <c r="BI64" s="734"/>
      <c r="BJ64" s="734"/>
      <c r="BK64" s="734"/>
      <c r="BL64" s="734"/>
      <c r="BM64" s="734"/>
      <c r="BN64" s="734"/>
      <c r="BO64" s="734"/>
      <c r="BP64" s="734"/>
    </row>
    <row r="65" spans="2:68" s="709" customFormat="1" x14ac:dyDescent="0.3">
      <c r="B65" s="664"/>
      <c r="C65" s="754"/>
      <c r="D65" s="755" t="str">
        <f t="shared" si="4"/>
        <v/>
      </c>
      <c r="E65" s="756" t="str">
        <f t="shared" si="5"/>
        <v/>
      </c>
      <c r="F65" s="757" t="str">
        <f t="shared" si="6"/>
        <v/>
      </c>
      <c r="G65" s="758" t="str">
        <f t="shared" si="13"/>
        <v/>
      </c>
      <c r="H65" s="758" t="str">
        <f t="shared" si="14"/>
        <v/>
      </c>
      <c r="I65" s="756" t="str">
        <f t="shared" si="7"/>
        <v/>
      </c>
      <c r="J65" s="759" t="str">
        <f t="shared" si="8"/>
        <v/>
      </c>
      <c r="K65" s="755" t="str">
        <f t="shared" si="9"/>
        <v/>
      </c>
      <c r="L65" s="758" t="str">
        <f t="shared" si="10"/>
        <v/>
      </c>
      <c r="M65" s="760" t="str">
        <f t="shared" si="11"/>
        <v/>
      </c>
      <c r="N65" s="668"/>
      <c r="O65" s="772"/>
      <c r="P65" s="763"/>
      <c r="Q65" s="764" t="str">
        <f t="shared" si="15"/>
        <v/>
      </c>
      <c r="R65" s="765"/>
      <c r="S65" s="763"/>
      <c r="T65" s="766" t="str">
        <f t="shared" si="12"/>
        <v/>
      </c>
      <c r="U65" s="767"/>
      <c r="V65" s="768" t="str">
        <f t="shared" si="16"/>
        <v/>
      </c>
      <c r="W65" s="769"/>
      <c r="X65" s="768" t="str">
        <f t="shared" si="17"/>
        <v/>
      </c>
      <c r="Y65" s="769"/>
      <c r="Z65" s="768" t="str">
        <f t="shared" si="18"/>
        <v/>
      </c>
      <c r="AA65" s="769"/>
      <c r="AB65" s="768" t="str">
        <f t="shared" si="19"/>
        <v/>
      </c>
      <c r="AC65" s="769"/>
      <c r="AD65" s="768" t="str">
        <f t="shared" si="20"/>
        <v/>
      </c>
      <c r="AE65" s="769"/>
      <c r="AF65" s="768" t="str">
        <f t="shared" si="21"/>
        <v/>
      </c>
      <c r="AG65" s="769"/>
      <c r="AH65" s="768" t="str">
        <f t="shared" si="22"/>
        <v/>
      </c>
      <c r="AI65" s="769"/>
      <c r="AJ65" s="770" t="str">
        <f t="shared" si="23"/>
        <v/>
      </c>
      <c r="AK65" s="763"/>
      <c r="AL65" s="771"/>
      <c r="AM65" s="763"/>
      <c r="AN65" s="768" t="str">
        <f t="shared" si="24"/>
        <v/>
      </c>
      <c r="AO65" s="769"/>
      <c r="AP65" s="768" t="str">
        <f t="shared" si="25"/>
        <v/>
      </c>
      <c r="AQ65" s="769"/>
      <c r="AR65" s="768" t="str">
        <f t="shared" si="26"/>
        <v/>
      </c>
      <c r="AS65" s="769"/>
      <c r="AT65" s="768" t="str">
        <f t="shared" si="27"/>
        <v/>
      </c>
      <c r="AU65" s="769"/>
      <c r="AV65" s="764" t="str">
        <f t="shared" si="28"/>
        <v/>
      </c>
      <c r="AW65" s="729"/>
      <c r="AX65" s="730"/>
      <c r="AY65" s="731"/>
      <c r="AZ65" s="731"/>
      <c r="BA65" s="731"/>
      <c r="BB65" s="731"/>
      <c r="BC65" s="733"/>
      <c r="BD65" s="734"/>
      <c r="BE65" s="734"/>
      <c r="BF65" s="734"/>
      <c r="BG65" s="734"/>
      <c r="BH65" s="734"/>
      <c r="BI65" s="734"/>
      <c r="BJ65" s="734"/>
      <c r="BK65" s="734"/>
      <c r="BL65" s="734"/>
      <c r="BM65" s="734"/>
      <c r="BN65" s="734"/>
      <c r="BO65" s="734"/>
      <c r="BP65" s="734"/>
    </row>
    <row r="66" spans="2:68" s="709" customFormat="1" x14ac:dyDescent="0.3">
      <c r="B66" s="664"/>
      <c r="C66" s="754"/>
      <c r="D66" s="755" t="str">
        <f t="shared" si="4"/>
        <v/>
      </c>
      <c r="E66" s="756" t="str">
        <f t="shared" si="5"/>
        <v/>
      </c>
      <c r="F66" s="757" t="str">
        <f t="shared" si="6"/>
        <v/>
      </c>
      <c r="G66" s="758" t="str">
        <f t="shared" si="13"/>
        <v/>
      </c>
      <c r="H66" s="758" t="str">
        <f t="shared" si="14"/>
        <v/>
      </c>
      <c r="I66" s="756" t="str">
        <f t="shared" si="7"/>
        <v/>
      </c>
      <c r="J66" s="759" t="str">
        <f t="shared" si="8"/>
        <v/>
      </c>
      <c r="K66" s="755" t="str">
        <f t="shared" si="9"/>
        <v/>
      </c>
      <c r="L66" s="758" t="str">
        <f t="shared" si="10"/>
        <v/>
      </c>
      <c r="M66" s="760" t="str">
        <f t="shared" si="11"/>
        <v/>
      </c>
      <c r="N66" s="668"/>
      <c r="O66" s="772"/>
      <c r="P66" s="763"/>
      <c r="Q66" s="764" t="str">
        <f t="shared" si="15"/>
        <v/>
      </c>
      <c r="R66" s="765"/>
      <c r="S66" s="763"/>
      <c r="T66" s="766" t="str">
        <f t="shared" si="12"/>
        <v/>
      </c>
      <c r="U66" s="767"/>
      <c r="V66" s="768" t="str">
        <f t="shared" si="16"/>
        <v/>
      </c>
      <c r="W66" s="769"/>
      <c r="X66" s="768" t="str">
        <f t="shared" si="17"/>
        <v/>
      </c>
      <c r="Y66" s="769"/>
      <c r="Z66" s="768" t="str">
        <f t="shared" si="18"/>
        <v/>
      </c>
      <c r="AA66" s="769"/>
      <c r="AB66" s="768" t="str">
        <f t="shared" si="19"/>
        <v/>
      </c>
      <c r="AC66" s="769"/>
      <c r="AD66" s="768" t="str">
        <f t="shared" si="20"/>
        <v/>
      </c>
      <c r="AE66" s="769"/>
      <c r="AF66" s="768" t="str">
        <f t="shared" si="21"/>
        <v/>
      </c>
      <c r="AG66" s="769"/>
      <c r="AH66" s="768" t="str">
        <f t="shared" si="22"/>
        <v/>
      </c>
      <c r="AI66" s="769"/>
      <c r="AJ66" s="770" t="str">
        <f t="shared" si="23"/>
        <v/>
      </c>
      <c r="AK66" s="763"/>
      <c r="AL66" s="771"/>
      <c r="AM66" s="763"/>
      <c r="AN66" s="768" t="str">
        <f t="shared" si="24"/>
        <v/>
      </c>
      <c r="AO66" s="769"/>
      <c r="AP66" s="768" t="str">
        <f t="shared" si="25"/>
        <v/>
      </c>
      <c r="AQ66" s="769"/>
      <c r="AR66" s="768" t="str">
        <f t="shared" si="26"/>
        <v/>
      </c>
      <c r="AS66" s="769"/>
      <c r="AT66" s="768" t="str">
        <f t="shared" si="27"/>
        <v/>
      </c>
      <c r="AU66" s="769"/>
      <c r="AV66" s="764" t="str">
        <f t="shared" si="28"/>
        <v/>
      </c>
      <c r="AW66" s="729"/>
      <c r="AX66" s="730"/>
      <c r="AY66" s="731"/>
      <c r="AZ66" s="731"/>
      <c r="BA66" s="731"/>
      <c r="BB66" s="731"/>
      <c r="BC66" s="733"/>
      <c r="BD66" s="734"/>
      <c r="BE66" s="734"/>
      <c r="BF66" s="734"/>
      <c r="BG66" s="734"/>
      <c r="BH66" s="734"/>
      <c r="BI66" s="734"/>
      <c r="BJ66" s="734"/>
      <c r="BK66" s="734"/>
      <c r="BL66" s="734"/>
      <c r="BM66" s="734"/>
      <c r="BN66" s="734"/>
      <c r="BO66" s="734"/>
      <c r="BP66" s="734"/>
    </row>
    <row r="67" spans="2:68" s="709" customFormat="1" x14ac:dyDescent="0.3">
      <c r="B67" s="664"/>
      <c r="C67" s="754"/>
      <c r="D67" s="755" t="str">
        <f t="shared" si="4"/>
        <v/>
      </c>
      <c r="E67" s="756" t="str">
        <f t="shared" si="5"/>
        <v/>
      </c>
      <c r="F67" s="757" t="str">
        <f t="shared" si="6"/>
        <v/>
      </c>
      <c r="G67" s="758" t="str">
        <f t="shared" si="13"/>
        <v/>
      </c>
      <c r="H67" s="758" t="str">
        <f t="shared" si="14"/>
        <v/>
      </c>
      <c r="I67" s="756" t="str">
        <f t="shared" si="7"/>
        <v/>
      </c>
      <c r="J67" s="759" t="str">
        <f t="shared" si="8"/>
        <v/>
      </c>
      <c r="K67" s="755" t="str">
        <f t="shared" si="9"/>
        <v/>
      </c>
      <c r="L67" s="758" t="str">
        <f t="shared" si="10"/>
        <v/>
      </c>
      <c r="M67" s="760" t="str">
        <f t="shared" si="11"/>
        <v/>
      </c>
      <c r="N67" s="668"/>
      <c r="O67" s="772"/>
      <c r="P67" s="763"/>
      <c r="Q67" s="764" t="str">
        <f t="shared" si="15"/>
        <v/>
      </c>
      <c r="R67" s="765"/>
      <c r="S67" s="763"/>
      <c r="T67" s="766" t="str">
        <f t="shared" si="12"/>
        <v/>
      </c>
      <c r="U67" s="767"/>
      <c r="V67" s="768" t="str">
        <f t="shared" si="16"/>
        <v/>
      </c>
      <c r="W67" s="769"/>
      <c r="X67" s="768" t="str">
        <f t="shared" si="17"/>
        <v/>
      </c>
      <c r="Y67" s="769"/>
      <c r="Z67" s="768" t="str">
        <f t="shared" si="18"/>
        <v/>
      </c>
      <c r="AA67" s="769"/>
      <c r="AB67" s="768" t="str">
        <f t="shared" si="19"/>
        <v/>
      </c>
      <c r="AC67" s="769"/>
      <c r="AD67" s="768" t="str">
        <f t="shared" si="20"/>
        <v/>
      </c>
      <c r="AE67" s="769"/>
      <c r="AF67" s="768" t="str">
        <f t="shared" si="21"/>
        <v/>
      </c>
      <c r="AG67" s="769"/>
      <c r="AH67" s="768" t="str">
        <f t="shared" si="22"/>
        <v/>
      </c>
      <c r="AI67" s="769"/>
      <c r="AJ67" s="770" t="str">
        <f t="shared" si="23"/>
        <v/>
      </c>
      <c r="AK67" s="763"/>
      <c r="AL67" s="771"/>
      <c r="AM67" s="763"/>
      <c r="AN67" s="768" t="str">
        <f t="shared" si="24"/>
        <v/>
      </c>
      <c r="AO67" s="769"/>
      <c r="AP67" s="768" t="str">
        <f t="shared" si="25"/>
        <v/>
      </c>
      <c r="AQ67" s="769"/>
      <c r="AR67" s="768" t="str">
        <f t="shared" si="26"/>
        <v/>
      </c>
      <c r="AS67" s="769"/>
      <c r="AT67" s="768" t="str">
        <f t="shared" si="27"/>
        <v/>
      </c>
      <c r="AU67" s="769"/>
      <c r="AV67" s="764" t="str">
        <f t="shared" si="28"/>
        <v/>
      </c>
      <c r="AW67" s="729"/>
      <c r="AX67" s="730"/>
      <c r="AY67" s="731"/>
      <c r="AZ67" s="731"/>
      <c r="BA67" s="731"/>
      <c r="BB67" s="731"/>
      <c r="BC67" s="733"/>
      <c r="BD67" s="734"/>
      <c r="BE67" s="734"/>
      <c r="BF67" s="734"/>
      <c r="BG67" s="734"/>
      <c r="BH67" s="734"/>
      <c r="BI67" s="734"/>
      <c r="BJ67" s="734"/>
      <c r="BK67" s="734"/>
      <c r="BL67" s="734"/>
      <c r="BM67" s="734"/>
      <c r="BN67" s="734"/>
      <c r="BO67" s="734"/>
      <c r="BP67" s="734"/>
    </row>
    <row r="68" spans="2:68" s="709" customFormat="1" x14ac:dyDescent="0.3">
      <c r="B68" s="664"/>
      <c r="C68" s="754"/>
      <c r="D68" s="755" t="str">
        <f t="shared" si="4"/>
        <v/>
      </c>
      <c r="E68" s="756" t="str">
        <f t="shared" si="5"/>
        <v/>
      </c>
      <c r="F68" s="757" t="str">
        <f t="shared" si="6"/>
        <v/>
      </c>
      <c r="G68" s="758" t="str">
        <f t="shared" si="13"/>
        <v/>
      </c>
      <c r="H68" s="758" t="str">
        <f t="shared" si="14"/>
        <v/>
      </c>
      <c r="I68" s="756" t="str">
        <f t="shared" si="7"/>
        <v/>
      </c>
      <c r="J68" s="759" t="str">
        <f t="shared" si="8"/>
        <v/>
      </c>
      <c r="K68" s="755" t="str">
        <f t="shared" si="9"/>
        <v/>
      </c>
      <c r="L68" s="758" t="str">
        <f t="shared" si="10"/>
        <v/>
      </c>
      <c r="M68" s="760" t="str">
        <f t="shared" si="11"/>
        <v/>
      </c>
      <c r="N68" s="668"/>
      <c r="O68" s="762"/>
      <c r="P68" s="763"/>
      <c r="Q68" s="764" t="str">
        <f t="shared" si="15"/>
        <v/>
      </c>
      <c r="R68" s="765"/>
      <c r="S68" s="763"/>
      <c r="T68" s="766" t="str">
        <f t="shared" si="12"/>
        <v/>
      </c>
      <c r="U68" s="767"/>
      <c r="V68" s="768" t="str">
        <f t="shared" si="16"/>
        <v/>
      </c>
      <c r="W68" s="769"/>
      <c r="X68" s="768" t="str">
        <f t="shared" si="17"/>
        <v/>
      </c>
      <c r="Y68" s="769"/>
      <c r="Z68" s="768" t="str">
        <f t="shared" si="18"/>
        <v/>
      </c>
      <c r="AA68" s="769"/>
      <c r="AB68" s="768" t="str">
        <f t="shared" si="19"/>
        <v/>
      </c>
      <c r="AC68" s="769"/>
      <c r="AD68" s="768" t="str">
        <f t="shared" si="20"/>
        <v/>
      </c>
      <c r="AE68" s="769"/>
      <c r="AF68" s="768" t="str">
        <f t="shared" si="21"/>
        <v/>
      </c>
      <c r="AG68" s="769"/>
      <c r="AH68" s="768" t="str">
        <f t="shared" si="22"/>
        <v/>
      </c>
      <c r="AI68" s="769"/>
      <c r="AJ68" s="770" t="str">
        <f t="shared" si="23"/>
        <v/>
      </c>
      <c r="AK68" s="763"/>
      <c r="AL68" s="771"/>
      <c r="AM68" s="763"/>
      <c r="AN68" s="768" t="str">
        <f t="shared" si="24"/>
        <v/>
      </c>
      <c r="AO68" s="769"/>
      <c r="AP68" s="768" t="str">
        <f t="shared" si="25"/>
        <v/>
      </c>
      <c r="AQ68" s="769"/>
      <c r="AR68" s="768" t="str">
        <f t="shared" si="26"/>
        <v/>
      </c>
      <c r="AS68" s="769"/>
      <c r="AT68" s="768" t="str">
        <f t="shared" si="27"/>
        <v/>
      </c>
      <c r="AU68" s="769"/>
      <c r="AV68" s="764" t="str">
        <f t="shared" si="28"/>
        <v/>
      </c>
      <c r="AW68" s="729"/>
      <c r="AX68" s="730"/>
      <c r="AY68" s="731"/>
      <c r="AZ68" s="731"/>
      <c r="BA68" s="731"/>
      <c r="BB68" s="731"/>
      <c r="BC68" s="733"/>
      <c r="BD68" s="734"/>
      <c r="BE68" s="734"/>
      <c r="BF68" s="734"/>
      <c r="BG68" s="734"/>
      <c r="BH68" s="734"/>
      <c r="BI68" s="734"/>
      <c r="BJ68" s="734"/>
      <c r="BK68" s="734"/>
      <c r="BL68" s="734"/>
      <c r="BM68" s="734"/>
      <c r="BN68" s="734"/>
      <c r="BO68" s="734"/>
      <c r="BP68" s="734"/>
    </row>
    <row r="69" spans="2:68" s="709" customFormat="1" x14ac:dyDescent="0.3">
      <c r="B69" s="664"/>
      <c r="C69" s="754"/>
      <c r="D69" s="755" t="str">
        <f t="shared" si="4"/>
        <v/>
      </c>
      <c r="E69" s="756" t="str">
        <f t="shared" si="5"/>
        <v/>
      </c>
      <c r="F69" s="757" t="str">
        <f t="shared" si="6"/>
        <v/>
      </c>
      <c r="G69" s="758" t="str">
        <f t="shared" si="13"/>
        <v/>
      </c>
      <c r="H69" s="758" t="str">
        <f t="shared" si="14"/>
        <v/>
      </c>
      <c r="I69" s="756" t="str">
        <f t="shared" si="7"/>
        <v/>
      </c>
      <c r="J69" s="759" t="str">
        <f t="shared" si="8"/>
        <v/>
      </c>
      <c r="K69" s="755" t="str">
        <f t="shared" si="9"/>
        <v/>
      </c>
      <c r="L69" s="758" t="str">
        <f t="shared" si="10"/>
        <v/>
      </c>
      <c r="M69" s="760" t="str">
        <f t="shared" si="11"/>
        <v/>
      </c>
      <c r="N69" s="668"/>
      <c r="O69" s="772"/>
      <c r="P69" s="763"/>
      <c r="Q69" s="764" t="str">
        <f t="shared" si="15"/>
        <v/>
      </c>
      <c r="R69" s="765"/>
      <c r="S69" s="763"/>
      <c r="T69" s="766" t="str">
        <f t="shared" si="12"/>
        <v/>
      </c>
      <c r="U69" s="767"/>
      <c r="V69" s="768" t="str">
        <f t="shared" si="16"/>
        <v/>
      </c>
      <c r="W69" s="769"/>
      <c r="X69" s="768" t="str">
        <f t="shared" si="17"/>
        <v/>
      </c>
      <c r="Y69" s="769"/>
      <c r="Z69" s="768" t="str">
        <f t="shared" si="18"/>
        <v/>
      </c>
      <c r="AA69" s="769"/>
      <c r="AB69" s="768" t="str">
        <f t="shared" si="19"/>
        <v/>
      </c>
      <c r="AC69" s="769"/>
      <c r="AD69" s="768" t="str">
        <f t="shared" si="20"/>
        <v/>
      </c>
      <c r="AE69" s="769"/>
      <c r="AF69" s="768" t="str">
        <f t="shared" si="21"/>
        <v/>
      </c>
      <c r="AG69" s="769"/>
      <c r="AH69" s="768" t="str">
        <f t="shared" si="22"/>
        <v/>
      </c>
      <c r="AI69" s="769"/>
      <c r="AJ69" s="770" t="str">
        <f t="shared" si="23"/>
        <v/>
      </c>
      <c r="AK69" s="763"/>
      <c r="AL69" s="771"/>
      <c r="AM69" s="763"/>
      <c r="AN69" s="768" t="str">
        <f t="shared" si="24"/>
        <v/>
      </c>
      <c r="AO69" s="769"/>
      <c r="AP69" s="768" t="str">
        <f t="shared" si="25"/>
        <v/>
      </c>
      <c r="AQ69" s="769"/>
      <c r="AR69" s="768" t="str">
        <f t="shared" si="26"/>
        <v/>
      </c>
      <c r="AS69" s="769"/>
      <c r="AT69" s="768" t="str">
        <f t="shared" si="27"/>
        <v/>
      </c>
      <c r="AU69" s="769"/>
      <c r="AV69" s="764" t="str">
        <f t="shared" si="28"/>
        <v/>
      </c>
      <c r="AW69" s="729"/>
      <c r="AX69" s="730"/>
      <c r="AY69" s="731"/>
      <c r="AZ69" s="731"/>
      <c r="BA69" s="731"/>
      <c r="BB69" s="731"/>
      <c r="BC69" s="733"/>
      <c r="BD69" s="734"/>
      <c r="BE69" s="734"/>
      <c r="BF69" s="734"/>
      <c r="BG69" s="734"/>
      <c r="BH69" s="734"/>
      <c r="BI69" s="734"/>
      <c r="BJ69" s="734"/>
      <c r="BK69" s="734"/>
      <c r="BL69" s="734"/>
      <c r="BM69" s="734"/>
      <c r="BN69" s="734"/>
      <c r="BO69" s="734"/>
      <c r="BP69" s="734"/>
    </row>
    <row r="70" spans="2:68" s="709" customFormat="1" x14ac:dyDescent="0.3">
      <c r="B70" s="664"/>
      <c r="C70" s="754"/>
      <c r="D70" s="755" t="str">
        <f t="shared" si="4"/>
        <v/>
      </c>
      <c r="E70" s="756" t="str">
        <f t="shared" si="5"/>
        <v/>
      </c>
      <c r="F70" s="757" t="str">
        <f t="shared" si="6"/>
        <v/>
      </c>
      <c r="G70" s="758" t="str">
        <f t="shared" si="13"/>
        <v/>
      </c>
      <c r="H70" s="758" t="str">
        <f t="shared" si="14"/>
        <v/>
      </c>
      <c r="I70" s="756" t="str">
        <f t="shared" si="7"/>
        <v/>
      </c>
      <c r="J70" s="759" t="str">
        <f t="shared" si="8"/>
        <v/>
      </c>
      <c r="K70" s="755" t="str">
        <f t="shared" si="9"/>
        <v/>
      </c>
      <c r="L70" s="758" t="str">
        <f t="shared" si="10"/>
        <v/>
      </c>
      <c r="M70" s="760" t="str">
        <f t="shared" si="11"/>
        <v/>
      </c>
      <c r="N70" s="668"/>
      <c r="O70" s="772"/>
      <c r="P70" s="763"/>
      <c r="Q70" s="764" t="str">
        <f t="shared" si="15"/>
        <v/>
      </c>
      <c r="R70" s="765"/>
      <c r="S70" s="763"/>
      <c r="T70" s="766" t="str">
        <f t="shared" si="12"/>
        <v/>
      </c>
      <c r="U70" s="767"/>
      <c r="V70" s="768" t="str">
        <f t="shared" si="16"/>
        <v/>
      </c>
      <c r="W70" s="769"/>
      <c r="X70" s="768" t="str">
        <f t="shared" si="17"/>
        <v/>
      </c>
      <c r="Y70" s="769"/>
      <c r="Z70" s="768" t="str">
        <f t="shared" si="18"/>
        <v/>
      </c>
      <c r="AA70" s="769"/>
      <c r="AB70" s="768" t="str">
        <f t="shared" si="19"/>
        <v/>
      </c>
      <c r="AC70" s="769"/>
      <c r="AD70" s="768" t="str">
        <f t="shared" si="20"/>
        <v/>
      </c>
      <c r="AE70" s="769"/>
      <c r="AF70" s="768" t="str">
        <f t="shared" si="21"/>
        <v/>
      </c>
      <c r="AG70" s="769"/>
      <c r="AH70" s="768" t="str">
        <f t="shared" si="22"/>
        <v/>
      </c>
      <c r="AI70" s="769"/>
      <c r="AJ70" s="770" t="str">
        <f t="shared" si="23"/>
        <v/>
      </c>
      <c r="AK70" s="763"/>
      <c r="AL70" s="771"/>
      <c r="AM70" s="763"/>
      <c r="AN70" s="768" t="str">
        <f t="shared" si="24"/>
        <v/>
      </c>
      <c r="AO70" s="769"/>
      <c r="AP70" s="768" t="str">
        <f t="shared" si="25"/>
        <v/>
      </c>
      <c r="AQ70" s="769"/>
      <c r="AR70" s="768" t="str">
        <f t="shared" si="26"/>
        <v/>
      </c>
      <c r="AS70" s="769"/>
      <c r="AT70" s="768" t="str">
        <f t="shared" si="27"/>
        <v/>
      </c>
      <c r="AU70" s="769"/>
      <c r="AV70" s="764" t="str">
        <f t="shared" si="28"/>
        <v/>
      </c>
      <c r="AW70" s="729"/>
      <c r="AX70" s="730"/>
      <c r="AY70" s="731"/>
      <c r="AZ70" s="731"/>
      <c r="BA70" s="731"/>
      <c r="BB70" s="731"/>
      <c r="BC70" s="733"/>
      <c r="BD70" s="734"/>
      <c r="BE70" s="734"/>
      <c r="BF70" s="734"/>
      <c r="BG70" s="734"/>
      <c r="BH70" s="734"/>
      <c r="BI70" s="734"/>
      <c r="BJ70" s="734"/>
      <c r="BK70" s="734"/>
      <c r="BL70" s="734"/>
      <c r="BM70" s="734"/>
      <c r="BN70" s="734"/>
      <c r="BO70" s="734"/>
      <c r="BP70" s="734"/>
    </row>
    <row r="71" spans="2:68" s="709" customFormat="1" x14ac:dyDescent="0.3">
      <c r="B71" s="664"/>
      <c r="C71" s="754"/>
      <c r="D71" s="755" t="str">
        <f t="shared" si="4"/>
        <v/>
      </c>
      <c r="E71" s="756" t="str">
        <f t="shared" si="5"/>
        <v/>
      </c>
      <c r="F71" s="757" t="str">
        <f t="shared" si="6"/>
        <v/>
      </c>
      <c r="G71" s="758" t="str">
        <f t="shared" si="13"/>
        <v/>
      </c>
      <c r="H71" s="758" t="str">
        <f t="shared" si="14"/>
        <v/>
      </c>
      <c r="I71" s="756" t="str">
        <f t="shared" si="7"/>
        <v/>
      </c>
      <c r="J71" s="759" t="str">
        <f t="shared" si="8"/>
        <v/>
      </c>
      <c r="K71" s="755" t="str">
        <f t="shared" si="9"/>
        <v/>
      </c>
      <c r="L71" s="758" t="str">
        <f t="shared" si="10"/>
        <v/>
      </c>
      <c r="M71" s="760" t="str">
        <f t="shared" si="11"/>
        <v/>
      </c>
      <c r="N71" s="668"/>
      <c r="O71" s="772"/>
      <c r="P71" s="763"/>
      <c r="Q71" s="764" t="str">
        <f t="shared" si="15"/>
        <v/>
      </c>
      <c r="R71" s="765"/>
      <c r="S71" s="763"/>
      <c r="T71" s="766" t="str">
        <f t="shared" si="12"/>
        <v/>
      </c>
      <c r="U71" s="767"/>
      <c r="V71" s="768" t="str">
        <f t="shared" si="16"/>
        <v/>
      </c>
      <c r="W71" s="769"/>
      <c r="X71" s="768" t="str">
        <f t="shared" si="17"/>
        <v/>
      </c>
      <c r="Y71" s="769"/>
      <c r="Z71" s="768" t="str">
        <f t="shared" si="18"/>
        <v/>
      </c>
      <c r="AA71" s="769"/>
      <c r="AB71" s="768" t="str">
        <f t="shared" si="19"/>
        <v/>
      </c>
      <c r="AC71" s="769"/>
      <c r="AD71" s="768" t="str">
        <f t="shared" si="20"/>
        <v/>
      </c>
      <c r="AE71" s="769"/>
      <c r="AF71" s="768" t="str">
        <f t="shared" si="21"/>
        <v/>
      </c>
      <c r="AG71" s="769"/>
      <c r="AH71" s="768" t="str">
        <f t="shared" si="22"/>
        <v/>
      </c>
      <c r="AI71" s="769"/>
      <c r="AJ71" s="770" t="str">
        <f t="shared" si="23"/>
        <v/>
      </c>
      <c r="AK71" s="763"/>
      <c r="AL71" s="771"/>
      <c r="AM71" s="763"/>
      <c r="AN71" s="768" t="str">
        <f t="shared" si="24"/>
        <v/>
      </c>
      <c r="AO71" s="769"/>
      <c r="AP71" s="768" t="str">
        <f t="shared" si="25"/>
        <v/>
      </c>
      <c r="AQ71" s="769"/>
      <c r="AR71" s="768" t="str">
        <f t="shared" si="26"/>
        <v/>
      </c>
      <c r="AS71" s="769"/>
      <c r="AT71" s="768" t="str">
        <f t="shared" si="27"/>
        <v/>
      </c>
      <c r="AU71" s="769"/>
      <c r="AV71" s="764" t="str">
        <f t="shared" si="28"/>
        <v/>
      </c>
      <c r="AW71" s="729"/>
      <c r="AX71" s="730"/>
      <c r="AY71" s="731"/>
      <c r="AZ71" s="731"/>
      <c r="BA71" s="731"/>
      <c r="BB71" s="731"/>
      <c r="BC71" s="733"/>
      <c r="BD71" s="734"/>
      <c r="BE71" s="734"/>
      <c r="BF71" s="734"/>
      <c r="BG71" s="734"/>
      <c r="BH71" s="734"/>
      <c r="BI71" s="734"/>
      <c r="BJ71" s="734"/>
      <c r="BK71" s="734"/>
      <c r="BL71" s="734"/>
      <c r="BM71" s="734"/>
      <c r="BN71" s="734"/>
      <c r="BO71" s="734"/>
      <c r="BP71" s="734"/>
    </row>
    <row r="72" spans="2:68" s="709" customFormat="1" x14ac:dyDescent="0.3">
      <c r="B72" s="664"/>
      <c r="C72" s="754"/>
      <c r="D72" s="755" t="str">
        <f t="shared" si="4"/>
        <v/>
      </c>
      <c r="E72" s="756" t="str">
        <f t="shared" si="5"/>
        <v/>
      </c>
      <c r="F72" s="757" t="str">
        <f t="shared" si="6"/>
        <v/>
      </c>
      <c r="G72" s="758" t="str">
        <f t="shared" si="13"/>
        <v/>
      </c>
      <c r="H72" s="758" t="str">
        <f t="shared" si="14"/>
        <v/>
      </c>
      <c r="I72" s="756" t="str">
        <f t="shared" si="7"/>
        <v/>
      </c>
      <c r="J72" s="759" t="str">
        <f t="shared" si="8"/>
        <v/>
      </c>
      <c r="K72" s="755" t="str">
        <f t="shared" si="9"/>
        <v/>
      </c>
      <c r="L72" s="758" t="str">
        <f t="shared" si="10"/>
        <v/>
      </c>
      <c r="M72" s="760" t="str">
        <f t="shared" si="11"/>
        <v/>
      </c>
      <c r="N72" s="668"/>
      <c r="O72" s="772"/>
      <c r="P72" s="763"/>
      <c r="Q72" s="764" t="str">
        <f t="shared" si="15"/>
        <v/>
      </c>
      <c r="R72" s="765"/>
      <c r="S72" s="763"/>
      <c r="T72" s="766" t="str">
        <f t="shared" si="12"/>
        <v/>
      </c>
      <c r="U72" s="767"/>
      <c r="V72" s="768" t="str">
        <f t="shared" si="16"/>
        <v/>
      </c>
      <c r="W72" s="769"/>
      <c r="X72" s="768" t="str">
        <f t="shared" si="17"/>
        <v/>
      </c>
      <c r="Y72" s="769"/>
      <c r="Z72" s="768" t="str">
        <f t="shared" si="18"/>
        <v/>
      </c>
      <c r="AA72" s="769"/>
      <c r="AB72" s="768" t="str">
        <f t="shared" si="19"/>
        <v/>
      </c>
      <c r="AC72" s="769"/>
      <c r="AD72" s="768" t="str">
        <f t="shared" si="20"/>
        <v/>
      </c>
      <c r="AE72" s="769"/>
      <c r="AF72" s="768" t="str">
        <f t="shared" si="21"/>
        <v/>
      </c>
      <c r="AG72" s="769"/>
      <c r="AH72" s="768" t="str">
        <f t="shared" si="22"/>
        <v/>
      </c>
      <c r="AI72" s="769"/>
      <c r="AJ72" s="770" t="str">
        <f t="shared" si="23"/>
        <v/>
      </c>
      <c r="AK72" s="763"/>
      <c r="AL72" s="771"/>
      <c r="AM72" s="763"/>
      <c r="AN72" s="768" t="str">
        <f t="shared" si="24"/>
        <v/>
      </c>
      <c r="AO72" s="769"/>
      <c r="AP72" s="768" t="str">
        <f t="shared" si="25"/>
        <v/>
      </c>
      <c r="AQ72" s="769"/>
      <c r="AR72" s="768" t="str">
        <f t="shared" si="26"/>
        <v/>
      </c>
      <c r="AS72" s="769"/>
      <c r="AT72" s="768" t="str">
        <f t="shared" si="27"/>
        <v/>
      </c>
      <c r="AU72" s="769"/>
      <c r="AV72" s="764" t="str">
        <f t="shared" si="28"/>
        <v/>
      </c>
      <c r="AW72" s="729"/>
      <c r="AX72" s="730"/>
      <c r="AY72" s="731"/>
      <c r="AZ72" s="731"/>
      <c r="BA72" s="731"/>
      <c r="BB72" s="731"/>
      <c r="BC72" s="733"/>
      <c r="BD72" s="734"/>
      <c r="BE72" s="734"/>
      <c r="BF72" s="734"/>
      <c r="BG72" s="734"/>
      <c r="BH72" s="734"/>
      <c r="BI72" s="734"/>
      <c r="BJ72" s="734"/>
      <c r="BK72" s="734"/>
      <c r="BL72" s="734"/>
      <c r="BM72" s="734"/>
      <c r="BN72" s="734"/>
      <c r="BO72" s="734"/>
      <c r="BP72" s="734"/>
    </row>
    <row r="73" spans="2:68" s="709" customFormat="1" x14ac:dyDescent="0.3">
      <c r="B73" s="664"/>
      <c r="C73" s="754"/>
      <c r="D73" s="755" t="str">
        <f t="shared" si="4"/>
        <v/>
      </c>
      <c r="E73" s="756" t="str">
        <f t="shared" si="5"/>
        <v/>
      </c>
      <c r="F73" s="757" t="str">
        <f t="shared" si="6"/>
        <v/>
      </c>
      <c r="G73" s="758" t="str">
        <f t="shared" si="13"/>
        <v/>
      </c>
      <c r="H73" s="758" t="str">
        <f t="shared" si="14"/>
        <v/>
      </c>
      <c r="I73" s="756" t="str">
        <f t="shared" si="7"/>
        <v/>
      </c>
      <c r="J73" s="759" t="str">
        <f t="shared" si="8"/>
        <v/>
      </c>
      <c r="K73" s="755" t="str">
        <f t="shared" si="9"/>
        <v/>
      </c>
      <c r="L73" s="758" t="str">
        <f t="shared" si="10"/>
        <v/>
      </c>
      <c r="M73" s="760" t="str">
        <f t="shared" si="11"/>
        <v/>
      </c>
      <c r="N73" s="668"/>
      <c r="O73" s="772"/>
      <c r="P73" s="763"/>
      <c r="Q73" s="764" t="str">
        <f t="shared" si="15"/>
        <v/>
      </c>
      <c r="R73" s="765"/>
      <c r="S73" s="763"/>
      <c r="T73" s="766" t="str">
        <f t="shared" si="12"/>
        <v/>
      </c>
      <c r="U73" s="767"/>
      <c r="V73" s="768" t="str">
        <f t="shared" si="16"/>
        <v/>
      </c>
      <c r="W73" s="769"/>
      <c r="X73" s="768" t="str">
        <f t="shared" si="17"/>
        <v/>
      </c>
      <c r="Y73" s="769"/>
      <c r="Z73" s="768" t="str">
        <f t="shared" si="18"/>
        <v/>
      </c>
      <c r="AA73" s="769"/>
      <c r="AB73" s="768" t="str">
        <f t="shared" si="19"/>
        <v/>
      </c>
      <c r="AC73" s="769"/>
      <c r="AD73" s="768" t="str">
        <f t="shared" si="20"/>
        <v/>
      </c>
      <c r="AE73" s="769"/>
      <c r="AF73" s="768" t="str">
        <f t="shared" si="21"/>
        <v/>
      </c>
      <c r="AG73" s="769"/>
      <c r="AH73" s="768" t="str">
        <f t="shared" si="22"/>
        <v/>
      </c>
      <c r="AI73" s="769"/>
      <c r="AJ73" s="770" t="str">
        <f t="shared" si="23"/>
        <v/>
      </c>
      <c r="AK73" s="763"/>
      <c r="AL73" s="771"/>
      <c r="AM73" s="763"/>
      <c r="AN73" s="768" t="str">
        <f t="shared" si="24"/>
        <v/>
      </c>
      <c r="AO73" s="769"/>
      <c r="AP73" s="768" t="str">
        <f t="shared" si="25"/>
        <v/>
      </c>
      <c r="AQ73" s="769"/>
      <c r="AR73" s="768" t="str">
        <f t="shared" si="26"/>
        <v/>
      </c>
      <c r="AS73" s="769"/>
      <c r="AT73" s="768" t="str">
        <f t="shared" si="27"/>
        <v/>
      </c>
      <c r="AU73" s="769"/>
      <c r="AV73" s="764" t="str">
        <f t="shared" si="28"/>
        <v/>
      </c>
      <c r="AW73" s="729"/>
      <c r="AX73" s="730"/>
      <c r="AY73" s="731"/>
      <c r="AZ73" s="731"/>
      <c r="BA73" s="731"/>
      <c r="BB73" s="731"/>
      <c r="BC73" s="733"/>
      <c r="BD73" s="734"/>
      <c r="BE73" s="734"/>
      <c r="BF73" s="734"/>
      <c r="BG73" s="734"/>
      <c r="BH73" s="734"/>
      <c r="BI73" s="734"/>
      <c r="BJ73" s="734"/>
      <c r="BK73" s="734"/>
      <c r="BL73" s="734"/>
      <c r="BM73" s="734"/>
      <c r="BN73" s="734"/>
      <c r="BO73" s="734"/>
      <c r="BP73" s="734"/>
    </row>
    <row r="74" spans="2:68" s="709" customFormat="1" x14ac:dyDescent="0.3">
      <c r="B74" s="664"/>
      <c r="C74" s="754"/>
      <c r="D74" s="755" t="str">
        <f t="shared" si="4"/>
        <v/>
      </c>
      <c r="E74" s="756" t="str">
        <f t="shared" si="5"/>
        <v/>
      </c>
      <c r="F74" s="757" t="str">
        <f t="shared" si="6"/>
        <v/>
      </c>
      <c r="G74" s="758" t="str">
        <f t="shared" si="13"/>
        <v/>
      </c>
      <c r="H74" s="758" t="str">
        <f t="shared" si="14"/>
        <v/>
      </c>
      <c r="I74" s="756" t="str">
        <f t="shared" si="7"/>
        <v/>
      </c>
      <c r="J74" s="759" t="str">
        <f t="shared" si="8"/>
        <v/>
      </c>
      <c r="K74" s="755" t="str">
        <f t="shared" si="9"/>
        <v/>
      </c>
      <c r="L74" s="758" t="str">
        <f t="shared" si="10"/>
        <v/>
      </c>
      <c r="M74" s="760" t="str">
        <f t="shared" si="11"/>
        <v/>
      </c>
      <c r="N74" s="668"/>
      <c r="O74" s="772"/>
      <c r="P74" s="763"/>
      <c r="Q74" s="764" t="str">
        <f t="shared" si="15"/>
        <v/>
      </c>
      <c r="R74" s="765"/>
      <c r="S74" s="763"/>
      <c r="T74" s="766" t="str">
        <f t="shared" si="12"/>
        <v/>
      </c>
      <c r="U74" s="767"/>
      <c r="V74" s="768" t="str">
        <f t="shared" si="16"/>
        <v/>
      </c>
      <c r="W74" s="769"/>
      <c r="X74" s="768" t="str">
        <f t="shared" si="17"/>
        <v/>
      </c>
      <c r="Y74" s="769"/>
      <c r="Z74" s="768" t="str">
        <f t="shared" si="18"/>
        <v/>
      </c>
      <c r="AA74" s="769"/>
      <c r="AB74" s="768" t="str">
        <f t="shared" si="19"/>
        <v/>
      </c>
      <c r="AC74" s="769"/>
      <c r="AD74" s="768" t="str">
        <f t="shared" si="20"/>
        <v/>
      </c>
      <c r="AE74" s="769"/>
      <c r="AF74" s="768" t="str">
        <f t="shared" si="21"/>
        <v/>
      </c>
      <c r="AG74" s="769"/>
      <c r="AH74" s="768" t="str">
        <f t="shared" si="22"/>
        <v/>
      </c>
      <c r="AI74" s="769"/>
      <c r="AJ74" s="770" t="str">
        <f t="shared" si="23"/>
        <v/>
      </c>
      <c r="AK74" s="763"/>
      <c r="AL74" s="771"/>
      <c r="AM74" s="763"/>
      <c r="AN74" s="768" t="str">
        <f t="shared" si="24"/>
        <v/>
      </c>
      <c r="AO74" s="769"/>
      <c r="AP74" s="768" t="str">
        <f t="shared" si="25"/>
        <v/>
      </c>
      <c r="AQ74" s="769"/>
      <c r="AR74" s="768" t="str">
        <f t="shared" si="26"/>
        <v/>
      </c>
      <c r="AS74" s="769"/>
      <c r="AT74" s="768" t="str">
        <f t="shared" si="27"/>
        <v/>
      </c>
      <c r="AU74" s="769"/>
      <c r="AV74" s="764" t="str">
        <f t="shared" si="28"/>
        <v/>
      </c>
      <c r="AW74" s="729"/>
      <c r="AX74" s="730"/>
      <c r="AY74" s="731"/>
      <c r="AZ74" s="731"/>
      <c r="BA74" s="731"/>
      <c r="BB74" s="731"/>
      <c r="BC74" s="733"/>
      <c r="BD74" s="734"/>
      <c r="BE74" s="734"/>
      <c r="BF74" s="734"/>
      <c r="BG74" s="734"/>
      <c r="BH74" s="734"/>
      <c r="BI74" s="734"/>
      <c r="BJ74" s="734"/>
      <c r="BK74" s="734"/>
      <c r="BL74" s="734"/>
      <c r="BM74" s="734"/>
      <c r="BN74" s="734"/>
      <c r="BO74" s="734"/>
      <c r="BP74" s="734"/>
    </row>
    <row r="75" spans="2:68" s="709" customFormat="1" x14ac:dyDescent="0.3">
      <c r="B75" s="664"/>
      <c r="C75" s="754"/>
      <c r="D75" s="755" t="str">
        <f t="shared" si="4"/>
        <v/>
      </c>
      <c r="E75" s="756" t="str">
        <f t="shared" si="5"/>
        <v/>
      </c>
      <c r="F75" s="757" t="str">
        <f t="shared" si="6"/>
        <v/>
      </c>
      <c r="G75" s="758" t="str">
        <f t="shared" si="13"/>
        <v/>
      </c>
      <c r="H75" s="758" t="str">
        <f t="shared" si="14"/>
        <v/>
      </c>
      <c r="I75" s="756" t="str">
        <f t="shared" si="7"/>
        <v/>
      </c>
      <c r="J75" s="759" t="str">
        <f t="shared" si="8"/>
        <v/>
      </c>
      <c r="K75" s="755" t="str">
        <f t="shared" si="9"/>
        <v/>
      </c>
      <c r="L75" s="758" t="str">
        <f t="shared" si="10"/>
        <v/>
      </c>
      <c r="M75" s="760" t="str">
        <f t="shared" si="11"/>
        <v/>
      </c>
      <c r="N75" s="668"/>
      <c r="O75" s="772"/>
      <c r="P75" s="763"/>
      <c r="Q75" s="764" t="str">
        <f t="shared" si="15"/>
        <v/>
      </c>
      <c r="R75" s="765"/>
      <c r="S75" s="763"/>
      <c r="T75" s="766" t="str">
        <f t="shared" si="12"/>
        <v/>
      </c>
      <c r="U75" s="767"/>
      <c r="V75" s="768" t="str">
        <f t="shared" si="16"/>
        <v/>
      </c>
      <c r="W75" s="769"/>
      <c r="X75" s="768" t="str">
        <f t="shared" si="17"/>
        <v/>
      </c>
      <c r="Y75" s="769"/>
      <c r="Z75" s="768" t="str">
        <f t="shared" si="18"/>
        <v/>
      </c>
      <c r="AA75" s="769"/>
      <c r="AB75" s="768" t="str">
        <f t="shared" si="19"/>
        <v/>
      </c>
      <c r="AC75" s="769"/>
      <c r="AD75" s="768" t="str">
        <f t="shared" si="20"/>
        <v/>
      </c>
      <c r="AE75" s="769"/>
      <c r="AF75" s="768" t="str">
        <f t="shared" si="21"/>
        <v/>
      </c>
      <c r="AG75" s="769"/>
      <c r="AH75" s="768" t="str">
        <f t="shared" si="22"/>
        <v/>
      </c>
      <c r="AI75" s="769"/>
      <c r="AJ75" s="770" t="str">
        <f t="shared" si="23"/>
        <v/>
      </c>
      <c r="AK75" s="763"/>
      <c r="AL75" s="771"/>
      <c r="AM75" s="763"/>
      <c r="AN75" s="768" t="str">
        <f t="shared" si="24"/>
        <v/>
      </c>
      <c r="AO75" s="769"/>
      <c r="AP75" s="768" t="str">
        <f t="shared" si="25"/>
        <v/>
      </c>
      <c r="AQ75" s="769"/>
      <c r="AR75" s="768" t="str">
        <f t="shared" si="26"/>
        <v/>
      </c>
      <c r="AS75" s="769"/>
      <c r="AT75" s="768" t="str">
        <f t="shared" si="27"/>
        <v/>
      </c>
      <c r="AU75" s="769"/>
      <c r="AV75" s="764" t="str">
        <f t="shared" si="28"/>
        <v/>
      </c>
      <c r="AW75" s="729"/>
      <c r="AX75" s="730"/>
      <c r="AY75" s="731"/>
      <c r="AZ75" s="731"/>
      <c r="BA75" s="731"/>
      <c r="BB75" s="731"/>
      <c r="BC75" s="733"/>
      <c r="BD75" s="734"/>
      <c r="BE75" s="734"/>
      <c r="BF75" s="734"/>
      <c r="BG75" s="734"/>
      <c r="BH75" s="734"/>
      <c r="BI75" s="734"/>
      <c r="BJ75" s="734"/>
      <c r="BK75" s="734"/>
      <c r="BL75" s="734"/>
      <c r="BM75" s="734"/>
      <c r="BN75" s="734"/>
      <c r="BO75" s="734"/>
      <c r="BP75" s="734"/>
    </row>
    <row r="76" spans="2:68" s="709" customFormat="1" x14ac:dyDescent="0.3">
      <c r="B76" s="664"/>
      <c r="C76" s="754"/>
      <c r="D76" s="755" t="str">
        <f t="shared" si="4"/>
        <v/>
      </c>
      <c r="E76" s="756" t="str">
        <f t="shared" si="5"/>
        <v/>
      </c>
      <c r="F76" s="757" t="str">
        <f t="shared" si="6"/>
        <v/>
      </c>
      <c r="G76" s="758" t="str">
        <f t="shared" si="13"/>
        <v/>
      </c>
      <c r="H76" s="758" t="str">
        <f t="shared" si="14"/>
        <v/>
      </c>
      <c r="I76" s="756" t="str">
        <f t="shared" si="7"/>
        <v/>
      </c>
      <c r="J76" s="759" t="str">
        <f t="shared" si="8"/>
        <v/>
      </c>
      <c r="K76" s="755" t="str">
        <f t="shared" si="9"/>
        <v/>
      </c>
      <c r="L76" s="758" t="str">
        <f t="shared" si="10"/>
        <v/>
      </c>
      <c r="M76" s="760" t="str">
        <f t="shared" si="11"/>
        <v/>
      </c>
      <c r="N76" s="668"/>
      <c r="O76" s="772"/>
      <c r="P76" s="763"/>
      <c r="Q76" s="764" t="str">
        <f t="shared" si="15"/>
        <v/>
      </c>
      <c r="R76" s="765"/>
      <c r="S76" s="763"/>
      <c r="T76" s="766" t="str">
        <f t="shared" si="12"/>
        <v/>
      </c>
      <c r="U76" s="767"/>
      <c r="V76" s="768" t="str">
        <f t="shared" si="16"/>
        <v/>
      </c>
      <c r="W76" s="769"/>
      <c r="X76" s="768" t="str">
        <f t="shared" si="17"/>
        <v/>
      </c>
      <c r="Y76" s="769"/>
      <c r="Z76" s="768" t="str">
        <f t="shared" si="18"/>
        <v/>
      </c>
      <c r="AA76" s="769"/>
      <c r="AB76" s="768" t="str">
        <f t="shared" si="19"/>
        <v/>
      </c>
      <c r="AC76" s="769"/>
      <c r="AD76" s="768" t="str">
        <f t="shared" si="20"/>
        <v/>
      </c>
      <c r="AE76" s="769"/>
      <c r="AF76" s="768" t="str">
        <f t="shared" si="21"/>
        <v/>
      </c>
      <c r="AG76" s="769"/>
      <c r="AH76" s="768" t="str">
        <f t="shared" si="22"/>
        <v/>
      </c>
      <c r="AI76" s="769"/>
      <c r="AJ76" s="770" t="str">
        <f t="shared" si="23"/>
        <v/>
      </c>
      <c r="AK76" s="763"/>
      <c r="AL76" s="771"/>
      <c r="AM76" s="763"/>
      <c r="AN76" s="768" t="str">
        <f t="shared" si="24"/>
        <v/>
      </c>
      <c r="AO76" s="769"/>
      <c r="AP76" s="768" t="str">
        <f t="shared" si="25"/>
        <v/>
      </c>
      <c r="AQ76" s="769"/>
      <c r="AR76" s="768" t="str">
        <f t="shared" si="26"/>
        <v/>
      </c>
      <c r="AS76" s="769"/>
      <c r="AT76" s="768" t="str">
        <f t="shared" si="27"/>
        <v/>
      </c>
      <c r="AU76" s="769"/>
      <c r="AV76" s="764" t="str">
        <f t="shared" si="28"/>
        <v/>
      </c>
      <c r="AW76" s="729"/>
      <c r="AX76" s="730"/>
      <c r="AY76" s="731"/>
      <c r="AZ76" s="731"/>
      <c r="BA76" s="731"/>
      <c r="BB76" s="731"/>
      <c r="BC76" s="733"/>
      <c r="BD76" s="734"/>
      <c r="BE76" s="734"/>
      <c r="BF76" s="734"/>
      <c r="BG76" s="734"/>
      <c r="BH76" s="734"/>
      <c r="BI76" s="734"/>
      <c r="BJ76" s="734"/>
      <c r="BK76" s="734"/>
      <c r="BL76" s="734"/>
      <c r="BM76" s="734"/>
      <c r="BN76" s="734"/>
      <c r="BO76" s="734"/>
      <c r="BP76" s="734"/>
    </row>
    <row r="77" spans="2:68" s="709" customFormat="1" x14ac:dyDescent="0.3">
      <c r="B77" s="664"/>
      <c r="C77" s="754"/>
      <c r="D77" s="755" t="str">
        <f t="shared" si="4"/>
        <v/>
      </c>
      <c r="E77" s="756" t="str">
        <f t="shared" si="5"/>
        <v/>
      </c>
      <c r="F77" s="757" t="str">
        <f t="shared" si="6"/>
        <v/>
      </c>
      <c r="G77" s="758" t="str">
        <f t="shared" si="13"/>
        <v/>
      </c>
      <c r="H77" s="758" t="str">
        <f t="shared" si="14"/>
        <v/>
      </c>
      <c r="I77" s="756" t="str">
        <f t="shared" si="7"/>
        <v/>
      </c>
      <c r="J77" s="759" t="str">
        <f t="shared" si="8"/>
        <v/>
      </c>
      <c r="K77" s="755" t="str">
        <f t="shared" si="9"/>
        <v/>
      </c>
      <c r="L77" s="758" t="str">
        <f t="shared" si="10"/>
        <v/>
      </c>
      <c r="M77" s="760" t="str">
        <f t="shared" si="11"/>
        <v/>
      </c>
      <c r="N77" s="668"/>
      <c r="O77" s="772"/>
      <c r="P77" s="763"/>
      <c r="Q77" s="764" t="str">
        <f t="shared" si="15"/>
        <v/>
      </c>
      <c r="R77" s="765"/>
      <c r="S77" s="763"/>
      <c r="T77" s="766" t="str">
        <f t="shared" si="12"/>
        <v/>
      </c>
      <c r="U77" s="767"/>
      <c r="V77" s="768" t="str">
        <f t="shared" si="16"/>
        <v/>
      </c>
      <c r="W77" s="769"/>
      <c r="X77" s="768" t="str">
        <f t="shared" si="17"/>
        <v/>
      </c>
      <c r="Y77" s="769"/>
      <c r="Z77" s="768" t="str">
        <f t="shared" si="18"/>
        <v/>
      </c>
      <c r="AA77" s="769"/>
      <c r="AB77" s="768" t="str">
        <f t="shared" si="19"/>
        <v/>
      </c>
      <c r="AC77" s="769"/>
      <c r="AD77" s="768" t="str">
        <f t="shared" si="20"/>
        <v/>
      </c>
      <c r="AE77" s="769"/>
      <c r="AF77" s="768" t="str">
        <f t="shared" si="21"/>
        <v/>
      </c>
      <c r="AG77" s="769"/>
      <c r="AH77" s="768" t="str">
        <f t="shared" si="22"/>
        <v/>
      </c>
      <c r="AI77" s="769"/>
      <c r="AJ77" s="770" t="str">
        <f t="shared" si="23"/>
        <v/>
      </c>
      <c r="AK77" s="763"/>
      <c r="AL77" s="771"/>
      <c r="AM77" s="763"/>
      <c r="AN77" s="768" t="str">
        <f t="shared" si="24"/>
        <v/>
      </c>
      <c r="AO77" s="769"/>
      <c r="AP77" s="768" t="str">
        <f t="shared" si="25"/>
        <v/>
      </c>
      <c r="AQ77" s="769"/>
      <c r="AR77" s="768" t="str">
        <f t="shared" si="26"/>
        <v/>
      </c>
      <c r="AS77" s="769"/>
      <c r="AT77" s="768" t="str">
        <f t="shared" si="27"/>
        <v/>
      </c>
      <c r="AU77" s="769"/>
      <c r="AV77" s="764" t="str">
        <f t="shared" si="28"/>
        <v/>
      </c>
      <c r="AW77" s="729"/>
      <c r="AX77" s="730"/>
      <c r="AY77" s="731"/>
      <c r="AZ77" s="731"/>
      <c r="BA77" s="731"/>
      <c r="BB77" s="731"/>
      <c r="BC77" s="733"/>
      <c r="BD77" s="734"/>
      <c r="BE77" s="734"/>
      <c r="BF77" s="734"/>
      <c r="BG77" s="734"/>
      <c r="BH77" s="734"/>
      <c r="BI77" s="734"/>
      <c r="BJ77" s="734"/>
      <c r="BK77" s="734"/>
      <c r="BL77" s="734"/>
      <c r="BM77" s="734"/>
      <c r="BN77" s="734"/>
      <c r="BO77" s="734"/>
      <c r="BP77" s="734"/>
    </row>
    <row r="78" spans="2:68" s="709" customFormat="1" x14ac:dyDescent="0.3">
      <c r="B78" s="664"/>
      <c r="C78" s="754"/>
      <c r="D78" s="755" t="str">
        <f t="shared" si="4"/>
        <v/>
      </c>
      <c r="E78" s="756" t="str">
        <f t="shared" si="5"/>
        <v/>
      </c>
      <c r="F78" s="757" t="str">
        <f t="shared" si="6"/>
        <v/>
      </c>
      <c r="G78" s="758" t="str">
        <f t="shared" si="13"/>
        <v/>
      </c>
      <c r="H78" s="758" t="str">
        <f t="shared" si="14"/>
        <v/>
      </c>
      <c r="I78" s="756" t="str">
        <f t="shared" si="7"/>
        <v/>
      </c>
      <c r="J78" s="759" t="str">
        <f t="shared" si="8"/>
        <v/>
      </c>
      <c r="K78" s="755" t="str">
        <f t="shared" si="9"/>
        <v/>
      </c>
      <c r="L78" s="758" t="str">
        <f t="shared" si="10"/>
        <v/>
      </c>
      <c r="M78" s="760" t="str">
        <f t="shared" si="11"/>
        <v/>
      </c>
      <c r="N78" s="668"/>
      <c r="O78" s="772"/>
      <c r="P78" s="763"/>
      <c r="Q78" s="764" t="str">
        <f t="shared" si="15"/>
        <v/>
      </c>
      <c r="R78" s="765"/>
      <c r="S78" s="763"/>
      <c r="T78" s="766" t="str">
        <f t="shared" si="12"/>
        <v/>
      </c>
      <c r="U78" s="767"/>
      <c r="V78" s="768" t="str">
        <f t="shared" si="16"/>
        <v/>
      </c>
      <c r="W78" s="769"/>
      <c r="X78" s="768" t="str">
        <f t="shared" si="17"/>
        <v/>
      </c>
      <c r="Y78" s="769"/>
      <c r="Z78" s="768" t="str">
        <f t="shared" si="18"/>
        <v/>
      </c>
      <c r="AA78" s="769"/>
      <c r="AB78" s="768" t="str">
        <f t="shared" si="19"/>
        <v/>
      </c>
      <c r="AC78" s="769"/>
      <c r="AD78" s="768" t="str">
        <f t="shared" si="20"/>
        <v/>
      </c>
      <c r="AE78" s="769"/>
      <c r="AF78" s="768" t="str">
        <f t="shared" si="21"/>
        <v/>
      </c>
      <c r="AG78" s="769"/>
      <c r="AH78" s="768" t="str">
        <f t="shared" si="22"/>
        <v/>
      </c>
      <c r="AI78" s="769"/>
      <c r="AJ78" s="770" t="str">
        <f t="shared" si="23"/>
        <v/>
      </c>
      <c r="AK78" s="763"/>
      <c r="AL78" s="771"/>
      <c r="AM78" s="763"/>
      <c r="AN78" s="768" t="str">
        <f t="shared" si="24"/>
        <v/>
      </c>
      <c r="AO78" s="769"/>
      <c r="AP78" s="768" t="str">
        <f t="shared" si="25"/>
        <v/>
      </c>
      <c r="AQ78" s="769"/>
      <c r="AR78" s="768" t="str">
        <f t="shared" si="26"/>
        <v/>
      </c>
      <c r="AS78" s="769"/>
      <c r="AT78" s="768" t="str">
        <f t="shared" si="27"/>
        <v/>
      </c>
      <c r="AU78" s="769"/>
      <c r="AV78" s="764" t="str">
        <f t="shared" si="28"/>
        <v/>
      </c>
      <c r="AW78" s="729"/>
      <c r="AX78" s="730"/>
      <c r="AY78" s="731"/>
      <c r="AZ78" s="731"/>
      <c r="BA78" s="731"/>
      <c r="BB78" s="731"/>
      <c r="BC78" s="733"/>
      <c r="BD78" s="734"/>
      <c r="BE78" s="734"/>
      <c r="BF78" s="734"/>
      <c r="BG78" s="734"/>
      <c r="BH78" s="734"/>
      <c r="BI78" s="734"/>
      <c r="BJ78" s="734"/>
      <c r="BK78" s="734"/>
      <c r="BL78" s="734"/>
      <c r="BM78" s="734"/>
      <c r="BN78" s="734"/>
      <c r="BO78" s="734"/>
      <c r="BP78" s="734"/>
    </row>
    <row r="79" spans="2:68" s="709" customFormat="1" x14ac:dyDescent="0.3">
      <c r="B79" s="664"/>
      <c r="C79" s="754"/>
      <c r="D79" s="755" t="str">
        <f t="shared" si="4"/>
        <v/>
      </c>
      <c r="E79" s="756" t="str">
        <f t="shared" si="5"/>
        <v/>
      </c>
      <c r="F79" s="757" t="str">
        <f t="shared" si="6"/>
        <v/>
      </c>
      <c r="G79" s="758" t="str">
        <f t="shared" si="13"/>
        <v/>
      </c>
      <c r="H79" s="758" t="str">
        <f t="shared" si="14"/>
        <v/>
      </c>
      <c r="I79" s="756" t="str">
        <f t="shared" si="7"/>
        <v/>
      </c>
      <c r="J79" s="759" t="str">
        <f t="shared" si="8"/>
        <v/>
      </c>
      <c r="K79" s="755" t="str">
        <f t="shared" si="9"/>
        <v/>
      </c>
      <c r="L79" s="758" t="str">
        <f t="shared" si="10"/>
        <v/>
      </c>
      <c r="M79" s="760" t="str">
        <f t="shared" si="11"/>
        <v/>
      </c>
      <c r="N79" s="668"/>
      <c r="O79" s="772"/>
      <c r="P79" s="763"/>
      <c r="Q79" s="764" t="str">
        <f t="shared" si="15"/>
        <v/>
      </c>
      <c r="R79" s="765"/>
      <c r="S79" s="763"/>
      <c r="T79" s="766" t="str">
        <f t="shared" si="12"/>
        <v/>
      </c>
      <c r="U79" s="767"/>
      <c r="V79" s="768" t="str">
        <f t="shared" si="16"/>
        <v/>
      </c>
      <c r="W79" s="769"/>
      <c r="X79" s="768" t="str">
        <f t="shared" si="17"/>
        <v/>
      </c>
      <c r="Y79" s="769"/>
      <c r="Z79" s="768" t="str">
        <f t="shared" si="18"/>
        <v/>
      </c>
      <c r="AA79" s="769"/>
      <c r="AB79" s="768" t="str">
        <f t="shared" si="19"/>
        <v/>
      </c>
      <c r="AC79" s="769"/>
      <c r="AD79" s="768" t="str">
        <f t="shared" si="20"/>
        <v/>
      </c>
      <c r="AE79" s="769"/>
      <c r="AF79" s="768" t="str">
        <f t="shared" si="21"/>
        <v/>
      </c>
      <c r="AG79" s="769"/>
      <c r="AH79" s="768" t="str">
        <f t="shared" si="22"/>
        <v/>
      </c>
      <c r="AI79" s="769"/>
      <c r="AJ79" s="770" t="str">
        <f t="shared" si="23"/>
        <v/>
      </c>
      <c r="AK79" s="763"/>
      <c r="AL79" s="771"/>
      <c r="AM79" s="763"/>
      <c r="AN79" s="768" t="str">
        <f t="shared" si="24"/>
        <v/>
      </c>
      <c r="AO79" s="769"/>
      <c r="AP79" s="768" t="str">
        <f t="shared" si="25"/>
        <v/>
      </c>
      <c r="AQ79" s="769"/>
      <c r="AR79" s="768" t="str">
        <f t="shared" si="26"/>
        <v/>
      </c>
      <c r="AS79" s="769"/>
      <c r="AT79" s="768" t="str">
        <f t="shared" si="27"/>
        <v/>
      </c>
      <c r="AU79" s="769"/>
      <c r="AV79" s="764" t="str">
        <f t="shared" si="28"/>
        <v/>
      </c>
      <c r="AW79" s="729"/>
      <c r="AX79" s="730"/>
      <c r="AY79" s="731"/>
      <c r="AZ79" s="731"/>
      <c r="BA79" s="731"/>
      <c r="BB79" s="731"/>
      <c r="BC79" s="733"/>
      <c r="BD79" s="734"/>
      <c r="BE79" s="734"/>
      <c r="BF79" s="734"/>
      <c r="BG79" s="734"/>
      <c r="BH79" s="734"/>
      <c r="BI79" s="734"/>
      <c r="BJ79" s="734"/>
      <c r="BK79" s="734"/>
      <c r="BL79" s="734"/>
      <c r="BM79" s="734"/>
      <c r="BN79" s="734"/>
      <c r="BO79" s="734"/>
      <c r="BP79" s="734"/>
    </row>
    <row r="80" spans="2:68" s="709" customFormat="1" x14ac:dyDescent="0.3">
      <c r="B80" s="664"/>
      <c r="C80" s="754"/>
      <c r="D80" s="755" t="str">
        <f t="shared" si="4"/>
        <v/>
      </c>
      <c r="E80" s="756" t="str">
        <f t="shared" si="5"/>
        <v/>
      </c>
      <c r="F80" s="757" t="str">
        <f t="shared" si="6"/>
        <v/>
      </c>
      <c r="G80" s="758" t="str">
        <f t="shared" si="13"/>
        <v/>
      </c>
      <c r="H80" s="758" t="str">
        <f t="shared" si="14"/>
        <v/>
      </c>
      <c r="I80" s="756" t="str">
        <f t="shared" si="7"/>
        <v/>
      </c>
      <c r="J80" s="759" t="str">
        <f t="shared" si="8"/>
        <v/>
      </c>
      <c r="K80" s="755" t="str">
        <f t="shared" si="9"/>
        <v/>
      </c>
      <c r="L80" s="758" t="str">
        <f t="shared" si="10"/>
        <v/>
      </c>
      <c r="M80" s="760" t="str">
        <f t="shared" si="11"/>
        <v/>
      </c>
      <c r="N80" s="668"/>
      <c r="O80" s="772"/>
      <c r="P80" s="763"/>
      <c r="Q80" s="764" t="str">
        <f t="shared" si="15"/>
        <v/>
      </c>
      <c r="R80" s="765"/>
      <c r="S80" s="763"/>
      <c r="T80" s="766" t="str">
        <f t="shared" si="12"/>
        <v/>
      </c>
      <c r="U80" s="767"/>
      <c r="V80" s="768" t="str">
        <f t="shared" si="16"/>
        <v/>
      </c>
      <c r="W80" s="769"/>
      <c r="X80" s="768" t="str">
        <f t="shared" si="17"/>
        <v/>
      </c>
      <c r="Y80" s="769"/>
      <c r="Z80" s="768" t="str">
        <f t="shared" si="18"/>
        <v/>
      </c>
      <c r="AA80" s="769"/>
      <c r="AB80" s="768" t="str">
        <f t="shared" si="19"/>
        <v/>
      </c>
      <c r="AC80" s="769"/>
      <c r="AD80" s="768" t="str">
        <f t="shared" si="20"/>
        <v/>
      </c>
      <c r="AE80" s="769"/>
      <c r="AF80" s="768" t="str">
        <f t="shared" si="21"/>
        <v/>
      </c>
      <c r="AG80" s="769"/>
      <c r="AH80" s="768" t="str">
        <f t="shared" si="22"/>
        <v/>
      </c>
      <c r="AI80" s="769"/>
      <c r="AJ80" s="770" t="str">
        <f t="shared" si="23"/>
        <v/>
      </c>
      <c r="AK80" s="763"/>
      <c r="AL80" s="771"/>
      <c r="AM80" s="763"/>
      <c r="AN80" s="768" t="str">
        <f t="shared" si="24"/>
        <v/>
      </c>
      <c r="AO80" s="769"/>
      <c r="AP80" s="768" t="str">
        <f t="shared" si="25"/>
        <v/>
      </c>
      <c r="AQ80" s="769"/>
      <c r="AR80" s="768" t="str">
        <f t="shared" si="26"/>
        <v/>
      </c>
      <c r="AS80" s="769"/>
      <c r="AT80" s="768" t="str">
        <f t="shared" si="27"/>
        <v/>
      </c>
      <c r="AU80" s="769"/>
      <c r="AV80" s="764" t="str">
        <f t="shared" si="28"/>
        <v/>
      </c>
      <c r="AW80" s="729"/>
      <c r="AX80" s="730"/>
      <c r="AY80" s="731"/>
      <c r="AZ80" s="731"/>
      <c r="BA80" s="731"/>
      <c r="BB80" s="731"/>
      <c r="BC80" s="733"/>
      <c r="BD80" s="734"/>
      <c r="BE80" s="734"/>
      <c r="BF80" s="734"/>
      <c r="BG80" s="734"/>
      <c r="BH80" s="734"/>
      <c r="BI80" s="734"/>
      <c r="BJ80" s="734"/>
      <c r="BK80" s="734"/>
      <c r="BL80" s="734"/>
      <c r="BM80" s="734"/>
      <c r="BN80" s="734"/>
      <c r="BO80" s="734"/>
      <c r="BP80" s="734"/>
    </row>
    <row r="81" spans="2:68" s="709" customFormat="1" x14ac:dyDescent="0.3">
      <c r="B81" s="664"/>
      <c r="C81" s="754"/>
      <c r="D81" s="755" t="str">
        <f t="shared" si="4"/>
        <v/>
      </c>
      <c r="E81" s="756" t="str">
        <f t="shared" si="5"/>
        <v/>
      </c>
      <c r="F81" s="757" t="str">
        <f t="shared" si="6"/>
        <v/>
      </c>
      <c r="G81" s="758" t="str">
        <f t="shared" si="13"/>
        <v/>
      </c>
      <c r="H81" s="758" t="str">
        <f t="shared" si="14"/>
        <v/>
      </c>
      <c r="I81" s="756" t="str">
        <f t="shared" si="7"/>
        <v/>
      </c>
      <c r="J81" s="759" t="str">
        <f t="shared" si="8"/>
        <v/>
      </c>
      <c r="K81" s="755" t="str">
        <f t="shared" si="9"/>
        <v/>
      </c>
      <c r="L81" s="758" t="str">
        <f t="shared" si="10"/>
        <v/>
      </c>
      <c r="M81" s="760" t="str">
        <f t="shared" si="11"/>
        <v/>
      </c>
      <c r="N81" s="668"/>
      <c r="O81" s="772"/>
      <c r="P81" s="763"/>
      <c r="Q81" s="764" t="str">
        <f t="shared" si="15"/>
        <v/>
      </c>
      <c r="R81" s="765"/>
      <c r="S81" s="763"/>
      <c r="T81" s="766" t="str">
        <f t="shared" si="12"/>
        <v/>
      </c>
      <c r="U81" s="767"/>
      <c r="V81" s="768" t="str">
        <f t="shared" si="16"/>
        <v/>
      </c>
      <c r="W81" s="769"/>
      <c r="X81" s="768" t="str">
        <f t="shared" si="17"/>
        <v/>
      </c>
      <c r="Y81" s="769"/>
      <c r="Z81" s="768" t="str">
        <f t="shared" si="18"/>
        <v/>
      </c>
      <c r="AA81" s="769"/>
      <c r="AB81" s="768" t="str">
        <f t="shared" si="19"/>
        <v/>
      </c>
      <c r="AC81" s="769"/>
      <c r="AD81" s="768" t="str">
        <f t="shared" si="20"/>
        <v/>
      </c>
      <c r="AE81" s="769"/>
      <c r="AF81" s="768" t="str">
        <f t="shared" si="21"/>
        <v/>
      </c>
      <c r="AG81" s="769"/>
      <c r="AH81" s="768" t="str">
        <f t="shared" si="22"/>
        <v/>
      </c>
      <c r="AI81" s="769"/>
      <c r="AJ81" s="770" t="str">
        <f t="shared" si="23"/>
        <v/>
      </c>
      <c r="AK81" s="763"/>
      <c r="AL81" s="771"/>
      <c r="AM81" s="763"/>
      <c r="AN81" s="768" t="str">
        <f t="shared" si="24"/>
        <v/>
      </c>
      <c r="AO81" s="769"/>
      <c r="AP81" s="768" t="str">
        <f t="shared" si="25"/>
        <v/>
      </c>
      <c r="AQ81" s="769"/>
      <c r="AR81" s="768" t="str">
        <f t="shared" si="26"/>
        <v/>
      </c>
      <c r="AS81" s="769"/>
      <c r="AT81" s="768" t="str">
        <f t="shared" si="27"/>
        <v/>
      </c>
      <c r="AU81" s="769"/>
      <c r="AV81" s="764" t="str">
        <f t="shared" si="28"/>
        <v/>
      </c>
      <c r="AW81" s="729"/>
      <c r="AX81" s="730"/>
      <c r="AY81" s="731"/>
      <c r="AZ81" s="731"/>
      <c r="BA81" s="731"/>
      <c r="BB81" s="731"/>
      <c r="BC81" s="733"/>
      <c r="BD81" s="734"/>
      <c r="BE81" s="734"/>
      <c r="BF81" s="734"/>
      <c r="BG81" s="734"/>
      <c r="BH81" s="734"/>
      <c r="BI81" s="734"/>
      <c r="BJ81" s="734"/>
      <c r="BK81" s="734"/>
      <c r="BL81" s="734"/>
      <c r="BM81" s="734"/>
      <c r="BN81" s="734"/>
      <c r="BO81" s="734"/>
      <c r="BP81" s="734"/>
    </row>
    <row r="82" spans="2:68" s="709" customFormat="1" x14ac:dyDescent="0.3">
      <c r="B82" s="664"/>
      <c r="C82" s="754"/>
      <c r="D82" s="755" t="str">
        <f t="shared" si="4"/>
        <v/>
      </c>
      <c r="E82" s="756" t="str">
        <f t="shared" si="5"/>
        <v/>
      </c>
      <c r="F82" s="757" t="str">
        <f t="shared" si="6"/>
        <v/>
      </c>
      <c r="G82" s="758" t="str">
        <f t="shared" si="13"/>
        <v/>
      </c>
      <c r="H82" s="758" t="str">
        <f t="shared" si="14"/>
        <v/>
      </c>
      <c r="I82" s="756" t="str">
        <f t="shared" si="7"/>
        <v/>
      </c>
      <c r="J82" s="759" t="str">
        <f t="shared" si="8"/>
        <v/>
      </c>
      <c r="K82" s="755" t="str">
        <f t="shared" si="9"/>
        <v/>
      </c>
      <c r="L82" s="758" t="str">
        <f t="shared" si="10"/>
        <v/>
      </c>
      <c r="M82" s="760" t="str">
        <f t="shared" si="11"/>
        <v/>
      </c>
      <c r="N82" s="668"/>
      <c r="O82" s="772"/>
      <c r="P82" s="763"/>
      <c r="Q82" s="764" t="str">
        <f t="shared" si="15"/>
        <v/>
      </c>
      <c r="R82" s="765"/>
      <c r="S82" s="763"/>
      <c r="T82" s="766" t="str">
        <f t="shared" si="12"/>
        <v/>
      </c>
      <c r="U82" s="767"/>
      <c r="V82" s="768" t="str">
        <f t="shared" si="16"/>
        <v/>
      </c>
      <c r="W82" s="769"/>
      <c r="X82" s="768" t="str">
        <f t="shared" si="17"/>
        <v/>
      </c>
      <c r="Y82" s="769"/>
      <c r="Z82" s="768" t="str">
        <f t="shared" si="18"/>
        <v/>
      </c>
      <c r="AA82" s="769"/>
      <c r="AB82" s="768" t="str">
        <f t="shared" si="19"/>
        <v/>
      </c>
      <c r="AC82" s="769"/>
      <c r="AD82" s="768" t="str">
        <f t="shared" si="20"/>
        <v/>
      </c>
      <c r="AE82" s="769"/>
      <c r="AF82" s="768" t="str">
        <f t="shared" si="21"/>
        <v/>
      </c>
      <c r="AG82" s="769"/>
      <c r="AH82" s="768" t="str">
        <f t="shared" si="22"/>
        <v/>
      </c>
      <c r="AI82" s="769"/>
      <c r="AJ82" s="770" t="str">
        <f t="shared" si="23"/>
        <v/>
      </c>
      <c r="AK82" s="763"/>
      <c r="AL82" s="771"/>
      <c r="AM82" s="763"/>
      <c r="AN82" s="768" t="str">
        <f t="shared" si="24"/>
        <v/>
      </c>
      <c r="AO82" s="769"/>
      <c r="AP82" s="768" t="str">
        <f t="shared" si="25"/>
        <v/>
      </c>
      <c r="AQ82" s="769"/>
      <c r="AR82" s="768" t="str">
        <f t="shared" si="26"/>
        <v/>
      </c>
      <c r="AS82" s="769"/>
      <c r="AT82" s="768" t="str">
        <f t="shared" si="27"/>
        <v/>
      </c>
      <c r="AU82" s="769"/>
      <c r="AV82" s="764" t="str">
        <f t="shared" si="28"/>
        <v/>
      </c>
      <c r="AW82" s="729"/>
      <c r="AX82" s="730"/>
      <c r="AY82" s="731"/>
      <c r="AZ82" s="731"/>
      <c r="BA82" s="731"/>
      <c r="BB82" s="731"/>
      <c r="BC82" s="733"/>
      <c r="BD82" s="734"/>
      <c r="BE82" s="734"/>
      <c r="BF82" s="734"/>
      <c r="BG82" s="734"/>
      <c r="BH82" s="734"/>
      <c r="BI82" s="734"/>
      <c r="BJ82" s="734"/>
      <c r="BK82" s="734"/>
      <c r="BL82" s="734"/>
      <c r="BM82" s="734"/>
      <c r="BN82" s="734"/>
      <c r="BO82" s="734"/>
      <c r="BP82" s="734"/>
    </row>
    <row r="83" spans="2:68" s="709" customFormat="1" x14ac:dyDescent="0.3">
      <c r="B83" s="664"/>
      <c r="C83" s="754"/>
      <c r="D83" s="755" t="str">
        <f t="shared" si="4"/>
        <v/>
      </c>
      <c r="E83" s="756" t="str">
        <f t="shared" si="5"/>
        <v/>
      </c>
      <c r="F83" s="757" t="str">
        <f t="shared" si="6"/>
        <v/>
      </c>
      <c r="G83" s="758" t="str">
        <f t="shared" si="13"/>
        <v/>
      </c>
      <c r="H83" s="758" t="str">
        <f t="shared" si="14"/>
        <v/>
      </c>
      <c r="I83" s="756" t="str">
        <f t="shared" si="7"/>
        <v/>
      </c>
      <c r="J83" s="759" t="str">
        <f t="shared" si="8"/>
        <v/>
      </c>
      <c r="K83" s="755" t="str">
        <f t="shared" si="9"/>
        <v/>
      </c>
      <c r="L83" s="758" t="str">
        <f t="shared" si="10"/>
        <v/>
      </c>
      <c r="M83" s="760" t="str">
        <f t="shared" si="11"/>
        <v/>
      </c>
      <c r="N83" s="668"/>
      <c r="O83" s="772"/>
      <c r="P83" s="763"/>
      <c r="Q83" s="764" t="str">
        <f t="shared" si="15"/>
        <v/>
      </c>
      <c r="R83" s="765"/>
      <c r="S83" s="763"/>
      <c r="T83" s="766" t="str">
        <f t="shared" si="12"/>
        <v/>
      </c>
      <c r="U83" s="767"/>
      <c r="V83" s="768" t="str">
        <f t="shared" si="16"/>
        <v/>
      </c>
      <c r="W83" s="769"/>
      <c r="X83" s="768" t="str">
        <f t="shared" si="17"/>
        <v/>
      </c>
      <c r="Y83" s="769"/>
      <c r="Z83" s="768" t="str">
        <f t="shared" si="18"/>
        <v/>
      </c>
      <c r="AA83" s="769"/>
      <c r="AB83" s="768" t="str">
        <f t="shared" si="19"/>
        <v/>
      </c>
      <c r="AC83" s="769"/>
      <c r="AD83" s="768" t="str">
        <f t="shared" si="20"/>
        <v/>
      </c>
      <c r="AE83" s="769"/>
      <c r="AF83" s="768" t="str">
        <f t="shared" si="21"/>
        <v/>
      </c>
      <c r="AG83" s="769"/>
      <c r="AH83" s="768" t="str">
        <f t="shared" si="22"/>
        <v/>
      </c>
      <c r="AI83" s="769"/>
      <c r="AJ83" s="770" t="str">
        <f t="shared" si="23"/>
        <v/>
      </c>
      <c r="AK83" s="763"/>
      <c r="AL83" s="771"/>
      <c r="AM83" s="763"/>
      <c r="AN83" s="768" t="str">
        <f t="shared" si="24"/>
        <v/>
      </c>
      <c r="AO83" s="769"/>
      <c r="AP83" s="768" t="str">
        <f t="shared" si="25"/>
        <v/>
      </c>
      <c r="AQ83" s="769"/>
      <c r="AR83" s="768" t="str">
        <f t="shared" si="26"/>
        <v/>
      </c>
      <c r="AS83" s="769"/>
      <c r="AT83" s="768" t="str">
        <f t="shared" si="27"/>
        <v/>
      </c>
      <c r="AU83" s="769"/>
      <c r="AV83" s="764" t="str">
        <f t="shared" si="28"/>
        <v/>
      </c>
      <c r="AW83" s="729"/>
      <c r="AX83" s="730"/>
      <c r="AY83" s="731"/>
      <c r="AZ83" s="731"/>
      <c r="BA83" s="731"/>
      <c r="BB83" s="731"/>
      <c r="BC83" s="733"/>
      <c r="BD83" s="734"/>
      <c r="BE83" s="734"/>
      <c r="BF83" s="734"/>
      <c r="BG83" s="734"/>
      <c r="BH83" s="734"/>
      <c r="BI83" s="734"/>
      <c r="BJ83" s="734"/>
      <c r="BK83" s="734"/>
      <c r="BL83" s="734"/>
      <c r="BM83" s="734"/>
      <c r="BN83" s="734"/>
      <c r="BO83" s="734"/>
      <c r="BP83" s="734"/>
    </row>
    <row r="84" spans="2:68" s="709" customFormat="1" x14ac:dyDescent="0.3">
      <c r="B84" s="664"/>
      <c r="C84" s="754"/>
      <c r="D84" s="755" t="str">
        <f t="shared" ref="D84:D99" si="29">IF(C84="","",VLOOKUP(C84,$B$7:$R$13,4))</f>
        <v/>
      </c>
      <c r="E84" s="756" t="str">
        <f t="shared" ref="E84:E99" si="30">IF(C84="","",VLOOKUP(C84,$B$7:$R$13,7))</f>
        <v/>
      </c>
      <c r="F84" s="757" t="str">
        <f t="shared" ref="F84:F99" si="31">IF($C84="","",
IF(AND($R84="Final",VLOOKUP($C84,$B$7:$R$13,8)=0,$D84&lt;=1000),60,
IF(AND($R84="Final",VLOOKUP($C84,$B$7:$R$13,8)=0,$D84&gt;1000),$D84*0.06,
IF(AND($R84="Final",VLOOKUP($C84,$B$7:$R$13,8)&lt;3,$D84&lt;=1000),80,
IF(AND($R84="Final",VLOOKUP($C84,$B$7:$R$13,8)&lt;3,$D84&gt;1000),$D84*0.08,
IF(AND($R84="Final",VLOOKUP($C84,$B$7:$R$13,8)&gt;=3,$D84&lt;=1000),120,
IF(AND($R84="FInal",VLOOKUP($C84,$B$7:$R$13,8)&gt;=3,$D84&gt;1000),$D84*0.12,
IF(AND($R84="Rough-In",VLOOKUP($C84,$B$7:$R$13,8)=0,$D84&lt;=1000),30,
IF(AND($R84="Rough-In",VLOOKUP($C84,$B$7:$R$13,8)=0,$D84&gt;1000),$D84*0.03,
IF(AND($R84="Rough-In",VLOOKUP($C84,$B$7:$R$13,8)&lt;3,$D84&lt;=1000),40,
IF(AND($R84="Rough-In",VLOOKUP($C84,$B$7:$R$13,8)&lt;3,$D84&gt;1000),$D84*0.04,
IF(AND($R84="Rough-In",VLOOKUP($C84,$B$7:$R$13,8)&gt;=3,$D84&lt;=1000),60,
IF(AND($R84="Rough-In",VLOOKUP($C84,$B$7:$R$13,8)&gt;=3,$D84&gt;1000),$D84*0.06,
"")))))))))))))</f>
        <v/>
      </c>
      <c r="G84" s="758" t="str">
        <f t="shared" si="13"/>
        <v/>
      </c>
      <c r="H84" s="758" t="str">
        <f t="shared" si="14"/>
        <v/>
      </c>
      <c r="I84" s="756" t="str">
        <f t="shared" ref="I84:I99" si="32">IF($C84="","",VLOOKUP($C84,$B$7:$R$13,10))</f>
        <v/>
      </c>
      <c r="J84" s="759" t="str">
        <f t="shared" ref="J84:J99" si="33">IF($C84="","",
IF(VLOOKUP($C84,$B$7:$R$13,12)="Intermittent",100,
IF(AND(VLOOKUP($C84,$B$7:$R$13,12)="Continuous",VLOOKUP($C84,$B$7:$R$13,13)=""),"Volume Above?",
IF(VLOOKUP($C84,$B$7:$R$13,12)="Continuous",((5*VLOOKUP($C84,$B$7:$R$13,13))/60),""))))</f>
        <v/>
      </c>
      <c r="K84" s="755" t="str">
        <f t="shared" ref="K84:K99" si="34">IF($C84="","",IF(VLOOKUP($C84,$B$7:$R$13,14)="Continuous",20,IF(VLOOKUP($C84,$B$7:$R$13,14)="Intermittent",50,"")))</f>
        <v/>
      </c>
      <c r="L84" s="758" t="str">
        <f t="shared" ref="L84:L99" si="35">IF($C84="","",IF(VLOOKUP($C84,$B$7:$R$13,15)="Continuous",20,IF(VLOOKUP($C84,$B$7:$R$13,15)="Intermittent",50,"")))</f>
        <v/>
      </c>
      <c r="M84" s="760" t="str">
        <f t="shared" ref="M84:M99" si="36">IF($C84="","",IF(VLOOKUP($C84,$B$7:$R$13,16)="Continuous",20,IF(VLOOKUP($C84,$B$7:$R$13,16)="Intermittent",50,"")))</f>
        <v/>
      </c>
      <c r="N84" s="668"/>
      <c r="O84" s="772"/>
      <c r="P84" s="763"/>
      <c r="Q84" s="764" t="str">
        <f t="shared" si="15"/>
        <v/>
      </c>
      <c r="R84" s="765"/>
      <c r="S84" s="763"/>
      <c r="T84" s="766" t="str">
        <f t="shared" ref="T84:T99" si="37">IF($S84="","",
IF($S84&lt;=5,"PASS",
IF(AND(VLOOKUP($C84,$B$7:$R$13,17)=1.5,$S84&lt;=6),"PASS",
IF(AND(VLOOKUP($C84,$B$7:$R$13,17)=2,$S84&lt;=7),"PASS",
IF(AND(VLOOKUP($C84,$B$7:$R$13,17)=2.5,$S84&lt;=8),"PASS",
IF(AND(VLOOKUP($C84,$B$7:$R$13,17)=3,$S84&lt;=9),"PASS",
IF(AND(VLOOKUP($C84,$B$7:$R$13,17)=3.5,$S84&lt;=10),"PASS",
IF(AND(VLOOKUP($C84,$B$7:$R$13,17)=4,$S84&lt;=11),"PASS","FAIL"))))))))</f>
        <v/>
      </c>
      <c r="U84" s="767"/>
      <c r="V84" s="768" t="str">
        <f t="shared" si="16"/>
        <v/>
      </c>
      <c r="W84" s="769"/>
      <c r="X84" s="768" t="str">
        <f t="shared" si="17"/>
        <v/>
      </c>
      <c r="Y84" s="769"/>
      <c r="Z84" s="768" t="str">
        <f t="shared" si="18"/>
        <v/>
      </c>
      <c r="AA84" s="769"/>
      <c r="AB84" s="768" t="str">
        <f t="shared" si="19"/>
        <v/>
      </c>
      <c r="AC84" s="769"/>
      <c r="AD84" s="768" t="str">
        <f t="shared" si="20"/>
        <v/>
      </c>
      <c r="AE84" s="769"/>
      <c r="AF84" s="768" t="str">
        <f t="shared" si="21"/>
        <v/>
      </c>
      <c r="AG84" s="769"/>
      <c r="AH84" s="768" t="str">
        <f t="shared" si="22"/>
        <v/>
      </c>
      <c r="AI84" s="769"/>
      <c r="AJ84" s="770" t="str">
        <f t="shared" si="23"/>
        <v/>
      </c>
      <c r="AK84" s="763"/>
      <c r="AL84" s="771"/>
      <c r="AM84" s="763"/>
      <c r="AN84" s="768" t="str">
        <f t="shared" si="24"/>
        <v/>
      </c>
      <c r="AO84" s="769"/>
      <c r="AP84" s="768" t="str">
        <f t="shared" si="25"/>
        <v/>
      </c>
      <c r="AQ84" s="769"/>
      <c r="AR84" s="768" t="str">
        <f t="shared" si="26"/>
        <v/>
      </c>
      <c r="AS84" s="769"/>
      <c r="AT84" s="768" t="str">
        <f t="shared" si="27"/>
        <v/>
      </c>
      <c r="AU84" s="769"/>
      <c r="AV84" s="764" t="str">
        <f t="shared" si="28"/>
        <v/>
      </c>
      <c r="AW84" s="729"/>
      <c r="AX84" s="730"/>
      <c r="AY84" s="731"/>
      <c r="AZ84" s="731"/>
      <c r="BA84" s="731"/>
      <c r="BB84" s="731"/>
      <c r="BC84" s="733"/>
      <c r="BD84" s="734"/>
      <c r="BE84" s="734"/>
      <c r="BF84" s="734"/>
      <c r="BG84" s="734"/>
      <c r="BH84" s="734"/>
      <c r="BI84" s="734"/>
      <c r="BJ84" s="734"/>
      <c r="BK84" s="734"/>
      <c r="BL84" s="734"/>
      <c r="BM84" s="734"/>
      <c r="BN84" s="734"/>
      <c r="BO84" s="734"/>
      <c r="BP84" s="734"/>
    </row>
    <row r="85" spans="2:68" s="709" customFormat="1" x14ac:dyDescent="0.3">
      <c r="B85" s="664"/>
      <c r="C85" s="754"/>
      <c r="D85" s="755" t="str">
        <f t="shared" si="29"/>
        <v/>
      </c>
      <c r="E85" s="756" t="str">
        <f t="shared" si="30"/>
        <v/>
      </c>
      <c r="F85" s="757" t="str">
        <f t="shared" si="31"/>
        <v/>
      </c>
      <c r="G85" s="758" t="str">
        <f t="shared" ref="G85:G99" si="38">IF($C85="","",IF($D85&lt;1000,40,$D85*0.04))</f>
        <v/>
      </c>
      <c r="H85" s="758" t="str">
        <f t="shared" ref="H85:H99" si="39">IF($C85="","",$E85*0.3)</f>
        <v/>
      </c>
      <c r="I85" s="756" t="str">
        <f t="shared" si="32"/>
        <v/>
      </c>
      <c r="J85" s="759" t="str">
        <f t="shared" si="33"/>
        <v/>
      </c>
      <c r="K85" s="755" t="str">
        <f t="shared" si="34"/>
        <v/>
      </c>
      <c r="L85" s="758" t="str">
        <f t="shared" si="35"/>
        <v/>
      </c>
      <c r="M85" s="760" t="str">
        <f t="shared" si="36"/>
        <v/>
      </c>
      <c r="N85" s="668"/>
      <c r="O85" s="772"/>
      <c r="P85" s="763"/>
      <c r="Q85" s="764" t="str">
        <f t="shared" ref="Q85:Q99" si="40">IF($P85="","",IF($P85&lt;=$F85,"PASS","FAIL"))</f>
        <v/>
      </c>
      <c r="R85" s="765"/>
      <c r="S85" s="763"/>
      <c r="T85" s="766" t="str">
        <f t="shared" si="37"/>
        <v/>
      </c>
      <c r="U85" s="767"/>
      <c r="V85" s="768" t="str">
        <f t="shared" ref="V85:V99" si="41">IF($U85="","",
IF($U85&lt;=$G85,"PASS","FAIL"))</f>
        <v/>
      </c>
      <c r="W85" s="769"/>
      <c r="X85" s="768" t="str">
        <f t="shared" ref="X85:X99" si="42">IF($W85="","",
IF($W85&lt;=$H85,"PASS","FAIL"))</f>
        <v/>
      </c>
      <c r="Y85" s="769"/>
      <c r="Z85" s="768" t="str">
        <f t="shared" ref="Z85:Z99" si="43">IF($Y85="","",
IF(AND($Y85&gt;=-5,$Y85&lt;=5),"PASS","FAIL"))</f>
        <v/>
      </c>
      <c r="AA85" s="769"/>
      <c r="AB85" s="768" t="str">
        <f t="shared" ref="AB85:AB99" si="44">IF($AA85="","",
IF(AND($I85&gt;=100,($I85*1.15)&lt;$AA85),"FAIL",
IF(AND($I85&lt;100,($I85+15)&lt;$AA85),"FAIL",
IF($AA85&gt;=$I85,"PASS","FAIL"))))</f>
        <v/>
      </c>
      <c r="AC85" s="769"/>
      <c r="AD85" s="768" t="str">
        <f t="shared" ref="AD85:AD99" si="45">IF($AC85="","",
IF($AC85&gt;=$J85,"PASS","FAIL"))</f>
        <v/>
      </c>
      <c r="AE85" s="769"/>
      <c r="AF85" s="768" t="str">
        <f t="shared" ref="AF85:AF99" si="46">IF($AE85="","",
IF($AE85&gt;=$K85,"PASS","FAIL"))</f>
        <v/>
      </c>
      <c r="AG85" s="769"/>
      <c r="AH85" s="768" t="str">
        <f t="shared" ref="AH85:AH99" si="47">IF($AG85="","",
IF($AG85&gt;=$L85,"PASS","FAIL"))</f>
        <v/>
      </c>
      <c r="AI85" s="769"/>
      <c r="AJ85" s="770" t="str">
        <f t="shared" ref="AJ85:AJ99" si="48">IF($AI85="","",
IF($AI85&gt;=$M85,"PASS","FAIL"))</f>
        <v/>
      </c>
      <c r="AK85" s="763"/>
      <c r="AL85" s="771"/>
      <c r="AM85" s="763"/>
      <c r="AN85" s="768" t="str">
        <f t="shared" ref="AN85:AN99" si="49">IF($AM85="","",
IF($AM85&lt;=125,"PASS","FAIL"))</f>
        <v/>
      </c>
      <c r="AO85" s="769"/>
      <c r="AP85" s="768" t="str">
        <f t="shared" ref="AP85:AP99" si="50">IF($AO85="","",
IF($AO85&lt;=125,"PASS","FAIL"))</f>
        <v/>
      </c>
      <c r="AQ85" s="769"/>
      <c r="AR85" s="768" t="str">
        <f t="shared" ref="AR85:AR99" si="51">IF($AQ85="","",
IF(AND($AQ85&gt;=-5,$AQ85&lt;=5),"PASS","FAIL"))</f>
        <v/>
      </c>
      <c r="AS85" s="769"/>
      <c r="AT85" s="768" t="str">
        <f t="shared" ref="AT85:AT99" si="52">IF($AS85="","",
IF(AND($AS85&gt;=-5,$AS85&lt;=5),"PASS","FAIL"))</f>
        <v/>
      </c>
      <c r="AU85" s="769"/>
      <c r="AV85" s="764" t="str">
        <f t="shared" ref="AV85:AV99" si="53">IF($AU85="","",
IF(AND($AU85&gt;=-5,$AU85&lt;=5),"PASS","FAIL"))</f>
        <v/>
      </c>
      <c r="AW85" s="729"/>
      <c r="AX85" s="730"/>
      <c r="AY85" s="731"/>
      <c r="AZ85" s="731"/>
      <c r="BA85" s="731"/>
      <c r="BB85" s="731"/>
      <c r="BC85" s="733"/>
      <c r="BD85" s="734"/>
      <c r="BE85" s="734"/>
      <c r="BF85" s="734"/>
      <c r="BG85" s="734"/>
      <c r="BH85" s="734"/>
      <c r="BI85" s="734"/>
      <c r="BJ85" s="734"/>
      <c r="BK85" s="734"/>
      <c r="BL85" s="734"/>
      <c r="BM85" s="734"/>
      <c r="BN85" s="734"/>
      <c r="BO85" s="734"/>
      <c r="BP85" s="734"/>
    </row>
    <row r="86" spans="2:68" s="709" customFormat="1" x14ac:dyDescent="0.3">
      <c r="B86" s="664"/>
      <c r="C86" s="754"/>
      <c r="D86" s="755" t="str">
        <f t="shared" si="29"/>
        <v/>
      </c>
      <c r="E86" s="756" t="str">
        <f t="shared" si="30"/>
        <v/>
      </c>
      <c r="F86" s="757" t="str">
        <f t="shared" si="31"/>
        <v/>
      </c>
      <c r="G86" s="758" t="str">
        <f t="shared" si="38"/>
        <v/>
      </c>
      <c r="H86" s="758" t="str">
        <f t="shared" si="39"/>
        <v/>
      </c>
      <c r="I86" s="756" t="str">
        <f t="shared" si="32"/>
        <v/>
      </c>
      <c r="J86" s="759" t="str">
        <f t="shared" si="33"/>
        <v/>
      </c>
      <c r="K86" s="755" t="str">
        <f t="shared" si="34"/>
        <v/>
      </c>
      <c r="L86" s="758" t="str">
        <f t="shared" si="35"/>
        <v/>
      </c>
      <c r="M86" s="760" t="str">
        <f t="shared" si="36"/>
        <v/>
      </c>
      <c r="N86" s="668"/>
      <c r="O86" s="772"/>
      <c r="P86" s="763"/>
      <c r="Q86" s="764" t="str">
        <f t="shared" si="40"/>
        <v/>
      </c>
      <c r="R86" s="765"/>
      <c r="S86" s="763"/>
      <c r="T86" s="766" t="str">
        <f t="shared" si="37"/>
        <v/>
      </c>
      <c r="U86" s="767"/>
      <c r="V86" s="768" t="str">
        <f t="shared" si="41"/>
        <v/>
      </c>
      <c r="W86" s="769"/>
      <c r="X86" s="768" t="str">
        <f t="shared" si="42"/>
        <v/>
      </c>
      <c r="Y86" s="769"/>
      <c r="Z86" s="768" t="str">
        <f t="shared" si="43"/>
        <v/>
      </c>
      <c r="AA86" s="769"/>
      <c r="AB86" s="768" t="str">
        <f t="shared" si="44"/>
        <v/>
      </c>
      <c r="AC86" s="769"/>
      <c r="AD86" s="768" t="str">
        <f t="shared" si="45"/>
        <v/>
      </c>
      <c r="AE86" s="769"/>
      <c r="AF86" s="768" t="str">
        <f t="shared" si="46"/>
        <v/>
      </c>
      <c r="AG86" s="769"/>
      <c r="AH86" s="768" t="str">
        <f t="shared" si="47"/>
        <v/>
      </c>
      <c r="AI86" s="769"/>
      <c r="AJ86" s="770" t="str">
        <f t="shared" si="48"/>
        <v/>
      </c>
      <c r="AK86" s="763"/>
      <c r="AL86" s="771"/>
      <c r="AM86" s="763"/>
      <c r="AN86" s="768" t="str">
        <f t="shared" si="49"/>
        <v/>
      </c>
      <c r="AO86" s="769"/>
      <c r="AP86" s="768" t="str">
        <f t="shared" si="50"/>
        <v/>
      </c>
      <c r="AQ86" s="769"/>
      <c r="AR86" s="768" t="str">
        <f t="shared" si="51"/>
        <v/>
      </c>
      <c r="AS86" s="769"/>
      <c r="AT86" s="768" t="str">
        <f t="shared" si="52"/>
        <v/>
      </c>
      <c r="AU86" s="769"/>
      <c r="AV86" s="764" t="str">
        <f t="shared" si="53"/>
        <v/>
      </c>
      <c r="AW86" s="729"/>
      <c r="AX86" s="730"/>
      <c r="AY86" s="731"/>
      <c r="AZ86" s="731"/>
      <c r="BA86" s="731"/>
      <c r="BB86" s="731"/>
      <c r="BC86" s="733"/>
      <c r="BD86" s="734"/>
      <c r="BE86" s="734"/>
      <c r="BF86" s="734"/>
      <c r="BG86" s="734"/>
      <c r="BH86" s="734"/>
      <c r="BI86" s="734"/>
      <c r="BJ86" s="734"/>
      <c r="BK86" s="734"/>
      <c r="BL86" s="734"/>
      <c r="BM86" s="734"/>
      <c r="BN86" s="734"/>
      <c r="BO86" s="734"/>
      <c r="BP86" s="734"/>
    </row>
    <row r="87" spans="2:68" s="709" customFormat="1" x14ac:dyDescent="0.3">
      <c r="B87" s="664"/>
      <c r="C87" s="754"/>
      <c r="D87" s="755" t="str">
        <f t="shared" si="29"/>
        <v/>
      </c>
      <c r="E87" s="756" t="str">
        <f t="shared" si="30"/>
        <v/>
      </c>
      <c r="F87" s="757" t="str">
        <f t="shared" si="31"/>
        <v/>
      </c>
      <c r="G87" s="758" t="str">
        <f t="shared" si="38"/>
        <v/>
      </c>
      <c r="H87" s="758" t="str">
        <f t="shared" si="39"/>
        <v/>
      </c>
      <c r="I87" s="756" t="str">
        <f t="shared" si="32"/>
        <v/>
      </c>
      <c r="J87" s="759" t="str">
        <f t="shared" si="33"/>
        <v/>
      </c>
      <c r="K87" s="755" t="str">
        <f t="shared" si="34"/>
        <v/>
      </c>
      <c r="L87" s="758" t="str">
        <f t="shared" si="35"/>
        <v/>
      </c>
      <c r="M87" s="760" t="str">
        <f t="shared" si="36"/>
        <v/>
      </c>
      <c r="N87" s="668"/>
      <c r="O87" s="772"/>
      <c r="P87" s="763"/>
      <c r="Q87" s="764" t="str">
        <f t="shared" si="40"/>
        <v/>
      </c>
      <c r="R87" s="765"/>
      <c r="S87" s="763"/>
      <c r="T87" s="766" t="str">
        <f t="shared" si="37"/>
        <v/>
      </c>
      <c r="U87" s="767"/>
      <c r="V87" s="768" t="str">
        <f t="shared" si="41"/>
        <v/>
      </c>
      <c r="W87" s="769"/>
      <c r="X87" s="768" t="str">
        <f t="shared" si="42"/>
        <v/>
      </c>
      <c r="Y87" s="769"/>
      <c r="Z87" s="768" t="str">
        <f t="shared" si="43"/>
        <v/>
      </c>
      <c r="AA87" s="769"/>
      <c r="AB87" s="768" t="str">
        <f t="shared" si="44"/>
        <v/>
      </c>
      <c r="AC87" s="769"/>
      <c r="AD87" s="768" t="str">
        <f t="shared" si="45"/>
        <v/>
      </c>
      <c r="AE87" s="769"/>
      <c r="AF87" s="768" t="str">
        <f t="shared" si="46"/>
        <v/>
      </c>
      <c r="AG87" s="769"/>
      <c r="AH87" s="768" t="str">
        <f t="shared" si="47"/>
        <v/>
      </c>
      <c r="AI87" s="769"/>
      <c r="AJ87" s="770" t="str">
        <f t="shared" si="48"/>
        <v/>
      </c>
      <c r="AK87" s="763"/>
      <c r="AL87" s="771"/>
      <c r="AM87" s="763"/>
      <c r="AN87" s="768" t="str">
        <f t="shared" si="49"/>
        <v/>
      </c>
      <c r="AO87" s="769"/>
      <c r="AP87" s="768" t="str">
        <f t="shared" si="50"/>
        <v/>
      </c>
      <c r="AQ87" s="769"/>
      <c r="AR87" s="768" t="str">
        <f t="shared" si="51"/>
        <v/>
      </c>
      <c r="AS87" s="769"/>
      <c r="AT87" s="768" t="str">
        <f t="shared" si="52"/>
        <v/>
      </c>
      <c r="AU87" s="769"/>
      <c r="AV87" s="764" t="str">
        <f t="shared" si="53"/>
        <v/>
      </c>
      <c r="AW87" s="729"/>
      <c r="AX87" s="730"/>
      <c r="AY87" s="731"/>
      <c r="AZ87" s="731"/>
      <c r="BA87" s="731"/>
      <c r="BB87" s="731"/>
      <c r="BC87" s="733"/>
      <c r="BD87" s="734"/>
      <c r="BE87" s="734"/>
      <c r="BF87" s="734"/>
      <c r="BG87" s="734"/>
      <c r="BH87" s="734"/>
      <c r="BI87" s="734"/>
      <c r="BJ87" s="734"/>
      <c r="BK87" s="734"/>
      <c r="BL87" s="734"/>
      <c r="BM87" s="734"/>
      <c r="BN87" s="734"/>
      <c r="BO87" s="734"/>
      <c r="BP87" s="734"/>
    </row>
    <row r="88" spans="2:68" s="709" customFormat="1" x14ac:dyDescent="0.3">
      <c r="B88" s="664"/>
      <c r="C88" s="754"/>
      <c r="D88" s="755" t="str">
        <f t="shared" si="29"/>
        <v/>
      </c>
      <c r="E88" s="756" t="str">
        <f t="shared" si="30"/>
        <v/>
      </c>
      <c r="F88" s="757" t="str">
        <f t="shared" si="31"/>
        <v/>
      </c>
      <c r="G88" s="758" t="str">
        <f t="shared" si="38"/>
        <v/>
      </c>
      <c r="H88" s="758" t="str">
        <f t="shared" si="39"/>
        <v/>
      </c>
      <c r="I88" s="756" t="str">
        <f t="shared" si="32"/>
        <v/>
      </c>
      <c r="J88" s="759" t="str">
        <f t="shared" si="33"/>
        <v/>
      </c>
      <c r="K88" s="755" t="str">
        <f t="shared" si="34"/>
        <v/>
      </c>
      <c r="L88" s="758" t="str">
        <f t="shared" si="35"/>
        <v/>
      </c>
      <c r="M88" s="760" t="str">
        <f t="shared" si="36"/>
        <v/>
      </c>
      <c r="N88" s="668"/>
      <c r="O88" s="772"/>
      <c r="P88" s="763"/>
      <c r="Q88" s="764" t="str">
        <f t="shared" si="40"/>
        <v/>
      </c>
      <c r="R88" s="765"/>
      <c r="S88" s="763"/>
      <c r="T88" s="766" t="str">
        <f t="shared" si="37"/>
        <v/>
      </c>
      <c r="U88" s="767"/>
      <c r="V88" s="768" t="str">
        <f t="shared" si="41"/>
        <v/>
      </c>
      <c r="W88" s="769"/>
      <c r="X88" s="768" t="str">
        <f t="shared" si="42"/>
        <v/>
      </c>
      <c r="Y88" s="769"/>
      <c r="Z88" s="768" t="str">
        <f t="shared" si="43"/>
        <v/>
      </c>
      <c r="AA88" s="769"/>
      <c r="AB88" s="768" t="str">
        <f t="shared" si="44"/>
        <v/>
      </c>
      <c r="AC88" s="769"/>
      <c r="AD88" s="768" t="str">
        <f t="shared" si="45"/>
        <v/>
      </c>
      <c r="AE88" s="769"/>
      <c r="AF88" s="768" t="str">
        <f t="shared" si="46"/>
        <v/>
      </c>
      <c r="AG88" s="769"/>
      <c r="AH88" s="768" t="str">
        <f t="shared" si="47"/>
        <v/>
      </c>
      <c r="AI88" s="769"/>
      <c r="AJ88" s="770" t="str">
        <f t="shared" si="48"/>
        <v/>
      </c>
      <c r="AK88" s="763"/>
      <c r="AL88" s="771"/>
      <c r="AM88" s="763"/>
      <c r="AN88" s="768" t="str">
        <f t="shared" si="49"/>
        <v/>
      </c>
      <c r="AO88" s="769"/>
      <c r="AP88" s="768" t="str">
        <f t="shared" si="50"/>
        <v/>
      </c>
      <c r="AQ88" s="769"/>
      <c r="AR88" s="768" t="str">
        <f t="shared" si="51"/>
        <v/>
      </c>
      <c r="AS88" s="769"/>
      <c r="AT88" s="768" t="str">
        <f t="shared" si="52"/>
        <v/>
      </c>
      <c r="AU88" s="769"/>
      <c r="AV88" s="764" t="str">
        <f t="shared" si="53"/>
        <v/>
      </c>
      <c r="AW88" s="729"/>
      <c r="AX88" s="730"/>
      <c r="AY88" s="731"/>
      <c r="AZ88" s="731"/>
      <c r="BA88" s="731"/>
      <c r="BB88" s="731"/>
      <c r="BC88" s="733"/>
      <c r="BD88" s="734"/>
      <c r="BE88" s="734"/>
      <c r="BF88" s="734"/>
      <c r="BG88" s="734"/>
      <c r="BH88" s="734"/>
      <c r="BI88" s="734"/>
      <c r="BJ88" s="734"/>
      <c r="BK88" s="734"/>
      <c r="BL88" s="734"/>
      <c r="BM88" s="734"/>
      <c r="BN88" s="734"/>
      <c r="BO88" s="734"/>
      <c r="BP88" s="734"/>
    </row>
    <row r="89" spans="2:68" s="709" customFormat="1" x14ac:dyDescent="0.3">
      <c r="B89" s="664"/>
      <c r="C89" s="754"/>
      <c r="D89" s="755" t="str">
        <f t="shared" si="29"/>
        <v/>
      </c>
      <c r="E89" s="756" t="str">
        <f t="shared" si="30"/>
        <v/>
      </c>
      <c r="F89" s="757" t="str">
        <f t="shared" si="31"/>
        <v/>
      </c>
      <c r="G89" s="758" t="str">
        <f t="shared" si="38"/>
        <v/>
      </c>
      <c r="H89" s="758" t="str">
        <f t="shared" si="39"/>
        <v/>
      </c>
      <c r="I89" s="756" t="str">
        <f t="shared" si="32"/>
        <v/>
      </c>
      <c r="J89" s="759" t="str">
        <f t="shared" si="33"/>
        <v/>
      </c>
      <c r="K89" s="755" t="str">
        <f t="shared" si="34"/>
        <v/>
      </c>
      <c r="L89" s="758" t="str">
        <f t="shared" si="35"/>
        <v/>
      </c>
      <c r="M89" s="760" t="str">
        <f t="shared" si="36"/>
        <v/>
      </c>
      <c r="N89" s="668"/>
      <c r="O89" s="772"/>
      <c r="P89" s="763"/>
      <c r="Q89" s="764" t="str">
        <f t="shared" si="40"/>
        <v/>
      </c>
      <c r="R89" s="765"/>
      <c r="S89" s="763"/>
      <c r="T89" s="766" t="str">
        <f t="shared" si="37"/>
        <v/>
      </c>
      <c r="U89" s="767"/>
      <c r="V89" s="768" t="str">
        <f t="shared" si="41"/>
        <v/>
      </c>
      <c r="W89" s="769"/>
      <c r="X89" s="768" t="str">
        <f t="shared" si="42"/>
        <v/>
      </c>
      <c r="Y89" s="769"/>
      <c r="Z89" s="768" t="str">
        <f t="shared" si="43"/>
        <v/>
      </c>
      <c r="AA89" s="769"/>
      <c r="AB89" s="768" t="str">
        <f t="shared" si="44"/>
        <v/>
      </c>
      <c r="AC89" s="769"/>
      <c r="AD89" s="768" t="str">
        <f t="shared" si="45"/>
        <v/>
      </c>
      <c r="AE89" s="769"/>
      <c r="AF89" s="768" t="str">
        <f t="shared" si="46"/>
        <v/>
      </c>
      <c r="AG89" s="769"/>
      <c r="AH89" s="768" t="str">
        <f t="shared" si="47"/>
        <v/>
      </c>
      <c r="AI89" s="769"/>
      <c r="AJ89" s="770" t="str">
        <f t="shared" si="48"/>
        <v/>
      </c>
      <c r="AK89" s="763"/>
      <c r="AL89" s="771"/>
      <c r="AM89" s="763"/>
      <c r="AN89" s="768" t="str">
        <f t="shared" si="49"/>
        <v/>
      </c>
      <c r="AO89" s="769"/>
      <c r="AP89" s="768" t="str">
        <f t="shared" si="50"/>
        <v/>
      </c>
      <c r="AQ89" s="769"/>
      <c r="AR89" s="768" t="str">
        <f t="shared" si="51"/>
        <v/>
      </c>
      <c r="AS89" s="769"/>
      <c r="AT89" s="768" t="str">
        <f t="shared" si="52"/>
        <v/>
      </c>
      <c r="AU89" s="769"/>
      <c r="AV89" s="764" t="str">
        <f t="shared" si="53"/>
        <v/>
      </c>
      <c r="AW89" s="729"/>
      <c r="AX89" s="730"/>
      <c r="AY89" s="731"/>
      <c r="AZ89" s="731"/>
      <c r="BA89" s="731"/>
      <c r="BB89" s="731"/>
      <c r="BC89" s="733"/>
      <c r="BD89" s="734"/>
      <c r="BE89" s="734"/>
      <c r="BF89" s="734"/>
      <c r="BG89" s="734"/>
      <c r="BH89" s="734"/>
      <c r="BI89" s="734"/>
      <c r="BJ89" s="734"/>
      <c r="BK89" s="734"/>
      <c r="BL89" s="734"/>
      <c r="BM89" s="734"/>
      <c r="BN89" s="734"/>
      <c r="BO89" s="734"/>
      <c r="BP89" s="734"/>
    </row>
    <row r="90" spans="2:68" s="709" customFormat="1" x14ac:dyDescent="0.3">
      <c r="B90" s="664"/>
      <c r="C90" s="754"/>
      <c r="D90" s="755" t="str">
        <f t="shared" si="29"/>
        <v/>
      </c>
      <c r="E90" s="756" t="str">
        <f t="shared" si="30"/>
        <v/>
      </c>
      <c r="F90" s="757" t="str">
        <f t="shared" si="31"/>
        <v/>
      </c>
      <c r="G90" s="758" t="str">
        <f t="shared" si="38"/>
        <v/>
      </c>
      <c r="H90" s="758" t="str">
        <f t="shared" si="39"/>
        <v/>
      </c>
      <c r="I90" s="756" t="str">
        <f t="shared" si="32"/>
        <v/>
      </c>
      <c r="J90" s="759" t="str">
        <f t="shared" si="33"/>
        <v/>
      </c>
      <c r="K90" s="755" t="str">
        <f t="shared" si="34"/>
        <v/>
      </c>
      <c r="L90" s="758" t="str">
        <f t="shared" si="35"/>
        <v/>
      </c>
      <c r="M90" s="760" t="str">
        <f t="shared" si="36"/>
        <v/>
      </c>
      <c r="N90" s="668"/>
      <c r="O90" s="772"/>
      <c r="P90" s="763"/>
      <c r="Q90" s="764" t="str">
        <f t="shared" si="40"/>
        <v/>
      </c>
      <c r="R90" s="765"/>
      <c r="S90" s="763"/>
      <c r="T90" s="766" t="str">
        <f t="shared" si="37"/>
        <v/>
      </c>
      <c r="U90" s="767"/>
      <c r="V90" s="768" t="str">
        <f t="shared" si="41"/>
        <v/>
      </c>
      <c r="W90" s="769"/>
      <c r="X90" s="768" t="str">
        <f t="shared" si="42"/>
        <v/>
      </c>
      <c r="Y90" s="769"/>
      <c r="Z90" s="768" t="str">
        <f t="shared" si="43"/>
        <v/>
      </c>
      <c r="AA90" s="769"/>
      <c r="AB90" s="768" t="str">
        <f t="shared" si="44"/>
        <v/>
      </c>
      <c r="AC90" s="769"/>
      <c r="AD90" s="768" t="str">
        <f t="shared" si="45"/>
        <v/>
      </c>
      <c r="AE90" s="769"/>
      <c r="AF90" s="768" t="str">
        <f t="shared" si="46"/>
        <v/>
      </c>
      <c r="AG90" s="769"/>
      <c r="AH90" s="768" t="str">
        <f t="shared" si="47"/>
        <v/>
      </c>
      <c r="AI90" s="769"/>
      <c r="AJ90" s="770" t="str">
        <f t="shared" si="48"/>
        <v/>
      </c>
      <c r="AK90" s="763"/>
      <c r="AL90" s="771"/>
      <c r="AM90" s="763"/>
      <c r="AN90" s="768" t="str">
        <f t="shared" si="49"/>
        <v/>
      </c>
      <c r="AO90" s="769"/>
      <c r="AP90" s="768" t="str">
        <f t="shared" si="50"/>
        <v/>
      </c>
      <c r="AQ90" s="769"/>
      <c r="AR90" s="768" t="str">
        <f t="shared" si="51"/>
        <v/>
      </c>
      <c r="AS90" s="769"/>
      <c r="AT90" s="768" t="str">
        <f t="shared" si="52"/>
        <v/>
      </c>
      <c r="AU90" s="769"/>
      <c r="AV90" s="764" t="str">
        <f t="shared" si="53"/>
        <v/>
      </c>
      <c r="AW90" s="729"/>
      <c r="AX90" s="730"/>
      <c r="AY90" s="731"/>
      <c r="AZ90" s="731"/>
      <c r="BA90" s="731"/>
      <c r="BB90" s="731"/>
      <c r="BC90" s="733"/>
      <c r="BD90" s="734"/>
      <c r="BE90" s="734"/>
      <c r="BF90" s="734"/>
      <c r="BG90" s="734"/>
      <c r="BH90" s="734"/>
      <c r="BI90" s="734"/>
      <c r="BJ90" s="734"/>
      <c r="BK90" s="734"/>
      <c r="BL90" s="734"/>
      <c r="BM90" s="734"/>
      <c r="BN90" s="734"/>
      <c r="BO90" s="734"/>
      <c r="BP90" s="734"/>
    </row>
    <row r="91" spans="2:68" s="709" customFormat="1" x14ac:dyDescent="0.3">
      <c r="B91" s="664"/>
      <c r="C91" s="754"/>
      <c r="D91" s="755" t="str">
        <f t="shared" si="29"/>
        <v/>
      </c>
      <c r="E91" s="756" t="str">
        <f t="shared" si="30"/>
        <v/>
      </c>
      <c r="F91" s="757" t="str">
        <f t="shared" si="31"/>
        <v/>
      </c>
      <c r="G91" s="758" t="str">
        <f t="shared" si="38"/>
        <v/>
      </c>
      <c r="H91" s="758" t="str">
        <f t="shared" si="39"/>
        <v/>
      </c>
      <c r="I91" s="756" t="str">
        <f t="shared" si="32"/>
        <v/>
      </c>
      <c r="J91" s="759" t="str">
        <f t="shared" si="33"/>
        <v/>
      </c>
      <c r="K91" s="755" t="str">
        <f t="shared" si="34"/>
        <v/>
      </c>
      <c r="L91" s="758" t="str">
        <f t="shared" si="35"/>
        <v/>
      </c>
      <c r="M91" s="760" t="str">
        <f t="shared" si="36"/>
        <v/>
      </c>
      <c r="N91" s="668"/>
      <c r="O91" s="772"/>
      <c r="P91" s="763"/>
      <c r="Q91" s="764" t="str">
        <f t="shared" si="40"/>
        <v/>
      </c>
      <c r="R91" s="765"/>
      <c r="S91" s="763"/>
      <c r="T91" s="766" t="str">
        <f t="shared" si="37"/>
        <v/>
      </c>
      <c r="U91" s="767"/>
      <c r="V91" s="768" t="str">
        <f t="shared" si="41"/>
        <v/>
      </c>
      <c r="W91" s="769"/>
      <c r="X91" s="768" t="str">
        <f t="shared" si="42"/>
        <v/>
      </c>
      <c r="Y91" s="769"/>
      <c r="Z91" s="768" t="str">
        <f t="shared" si="43"/>
        <v/>
      </c>
      <c r="AA91" s="769"/>
      <c r="AB91" s="768" t="str">
        <f t="shared" si="44"/>
        <v/>
      </c>
      <c r="AC91" s="769"/>
      <c r="AD91" s="768" t="str">
        <f t="shared" si="45"/>
        <v/>
      </c>
      <c r="AE91" s="769"/>
      <c r="AF91" s="768" t="str">
        <f t="shared" si="46"/>
        <v/>
      </c>
      <c r="AG91" s="769"/>
      <c r="AH91" s="768" t="str">
        <f t="shared" si="47"/>
        <v/>
      </c>
      <c r="AI91" s="769"/>
      <c r="AJ91" s="770" t="str">
        <f t="shared" si="48"/>
        <v/>
      </c>
      <c r="AK91" s="763"/>
      <c r="AL91" s="771"/>
      <c r="AM91" s="763"/>
      <c r="AN91" s="768" t="str">
        <f t="shared" si="49"/>
        <v/>
      </c>
      <c r="AO91" s="769"/>
      <c r="AP91" s="768" t="str">
        <f t="shared" si="50"/>
        <v/>
      </c>
      <c r="AQ91" s="769"/>
      <c r="AR91" s="768" t="str">
        <f t="shared" si="51"/>
        <v/>
      </c>
      <c r="AS91" s="769"/>
      <c r="AT91" s="768" t="str">
        <f t="shared" si="52"/>
        <v/>
      </c>
      <c r="AU91" s="769"/>
      <c r="AV91" s="764" t="str">
        <f t="shared" si="53"/>
        <v/>
      </c>
      <c r="AW91" s="729"/>
      <c r="AX91" s="730"/>
      <c r="AY91" s="731"/>
      <c r="AZ91" s="731"/>
      <c r="BA91" s="731"/>
      <c r="BB91" s="731"/>
      <c r="BC91" s="733"/>
      <c r="BD91" s="734"/>
      <c r="BE91" s="734"/>
      <c r="BF91" s="734"/>
      <c r="BG91" s="734"/>
      <c r="BH91" s="734"/>
      <c r="BI91" s="734"/>
      <c r="BJ91" s="734"/>
      <c r="BK91" s="734"/>
      <c r="BL91" s="734"/>
      <c r="BM91" s="734"/>
      <c r="BN91" s="734"/>
      <c r="BO91" s="734"/>
      <c r="BP91" s="734"/>
    </row>
    <row r="92" spans="2:68" s="709" customFormat="1" x14ac:dyDescent="0.3">
      <c r="B92" s="664"/>
      <c r="C92" s="754"/>
      <c r="D92" s="755" t="str">
        <f t="shared" si="29"/>
        <v/>
      </c>
      <c r="E92" s="756" t="str">
        <f t="shared" si="30"/>
        <v/>
      </c>
      <c r="F92" s="757" t="str">
        <f t="shared" si="31"/>
        <v/>
      </c>
      <c r="G92" s="758" t="str">
        <f t="shared" si="38"/>
        <v/>
      </c>
      <c r="H92" s="758" t="str">
        <f t="shared" si="39"/>
        <v/>
      </c>
      <c r="I92" s="756" t="str">
        <f t="shared" si="32"/>
        <v/>
      </c>
      <c r="J92" s="759" t="str">
        <f t="shared" si="33"/>
        <v/>
      </c>
      <c r="K92" s="755" t="str">
        <f t="shared" si="34"/>
        <v/>
      </c>
      <c r="L92" s="758" t="str">
        <f t="shared" si="35"/>
        <v/>
      </c>
      <c r="M92" s="760" t="str">
        <f t="shared" si="36"/>
        <v/>
      </c>
      <c r="N92" s="668"/>
      <c r="O92" s="772"/>
      <c r="P92" s="763"/>
      <c r="Q92" s="764" t="str">
        <f t="shared" si="40"/>
        <v/>
      </c>
      <c r="R92" s="765"/>
      <c r="S92" s="763"/>
      <c r="T92" s="766" t="str">
        <f t="shared" si="37"/>
        <v/>
      </c>
      <c r="U92" s="767"/>
      <c r="V92" s="768" t="str">
        <f t="shared" si="41"/>
        <v/>
      </c>
      <c r="W92" s="769"/>
      <c r="X92" s="768" t="str">
        <f t="shared" si="42"/>
        <v/>
      </c>
      <c r="Y92" s="769"/>
      <c r="Z92" s="768" t="str">
        <f t="shared" si="43"/>
        <v/>
      </c>
      <c r="AA92" s="769"/>
      <c r="AB92" s="768" t="str">
        <f t="shared" si="44"/>
        <v/>
      </c>
      <c r="AC92" s="769"/>
      <c r="AD92" s="768" t="str">
        <f t="shared" si="45"/>
        <v/>
      </c>
      <c r="AE92" s="769"/>
      <c r="AF92" s="768" t="str">
        <f t="shared" si="46"/>
        <v/>
      </c>
      <c r="AG92" s="769"/>
      <c r="AH92" s="768" t="str">
        <f t="shared" si="47"/>
        <v/>
      </c>
      <c r="AI92" s="769"/>
      <c r="AJ92" s="770" t="str">
        <f t="shared" si="48"/>
        <v/>
      </c>
      <c r="AK92" s="763"/>
      <c r="AL92" s="771"/>
      <c r="AM92" s="763"/>
      <c r="AN92" s="768" t="str">
        <f t="shared" si="49"/>
        <v/>
      </c>
      <c r="AO92" s="769"/>
      <c r="AP92" s="768" t="str">
        <f t="shared" si="50"/>
        <v/>
      </c>
      <c r="AQ92" s="769"/>
      <c r="AR92" s="768" t="str">
        <f t="shared" si="51"/>
        <v/>
      </c>
      <c r="AS92" s="769"/>
      <c r="AT92" s="768" t="str">
        <f t="shared" si="52"/>
        <v/>
      </c>
      <c r="AU92" s="769"/>
      <c r="AV92" s="764" t="str">
        <f t="shared" si="53"/>
        <v/>
      </c>
      <c r="AW92" s="729"/>
      <c r="AX92" s="730"/>
      <c r="AY92" s="731"/>
      <c r="AZ92" s="731"/>
      <c r="BA92" s="731"/>
      <c r="BB92" s="731"/>
      <c r="BC92" s="733"/>
      <c r="BD92" s="734"/>
      <c r="BE92" s="734"/>
      <c r="BF92" s="734"/>
      <c r="BG92" s="734"/>
      <c r="BH92" s="734"/>
      <c r="BI92" s="734"/>
      <c r="BJ92" s="734"/>
      <c r="BK92" s="734"/>
      <c r="BL92" s="734"/>
      <c r="BM92" s="734"/>
      <c r="BN92" s="734"/>
      <c r="BO92" s="734"/>
      <c r="BP92" s="734"/>
    </row>
    <row r="93" spans="2:68" s="709" customFormat="1" x14ac:dyDescent="0.3">
      <c r="B93" s="664"/>
      <c r="C93" s="754"/>
      <c r="D93" s="755" t="str">
        <f t="shared" si="29"/>
        <v/>
      </c>
      <c r="E93" s="756" t="str">
        <f t="shared" si="30"/>
        <v/>
      </c>
      <c r="F93" s="757" t="str">
        <f t="shared" si="31"/>
        <v/>
      </c>
      <c r="G93" s="758" t="str">
        <f t="shared" si="38"/>
        <v/>
      </c>
      <c r="H93" s="758" t="str">
        <f t="shared" si="39"/>
        <v/>
      </c>
      <c r="I93" s="756" t="str">
        <f t="shared" si="32"/>
        <v/>
      </c>
      <c r="J93" s="759" t="str">
        <f t="shared" si="33"/>
        <v/>
      </c>
      <c r="K93" s="755" t="str">
        <f t="shared" si="34"/>
        <v/>
      </c>
      <c r="L93" s="758" t="str">
        <f t="shared" si="35"/>
        <v/>
      </c>
      <c r="M93" s="760" t="str">
        <f t="shared" si="36"/>
        <v/>
      </c>
      <c r="N93" s="668"/>
      <c r="O93" s="772"/>
      <c r="P93" s="763"/>
      <c r="Q93" s="764" t="str">
        <f t="shared" si="40"/>
        <v/>
      </c>
      <c r="R93" s="765"/>
      <c r="S93" s="763"/>
      <c r="T93" s="766" t="str">
        <f t="shared" si="37"/>
        <v/>
      </c>
      <c r="U93" s="767"/>
      <c r="V93" s="768" t="str">
        <f t="shared" si="41"/>
        <v/>
      </c>
      <c r="W93" s="769"/>
      <c r="X93" s="768" t="str">
        <f t="shared" si="42"/>
        <v/>
      </c>
      <c r="Y93" s="769"/>
      <c r="Z93" s="768" t="str">
        <f t="shared" si="43"/>
        <v/>
      </c>
      <c r="AA93" s="769"/>
      <c r="AB93" s="768" t="str">
        <f t="shared" si="44"/>
        <v/>
      </c>
      <c r="AC93" s="769"/>
      <c r="AD93" s="768" t="str">
        <f t="shared" si="45"/>
        <v/>
      </c>
      <c r="AE93" s="769"/>
      <c r="AF93" s="768" t="str">
        <f t="shared" si="46"/>
        <v/>
      </c>
      <c r="AG93" s="769"/>
      <c r="AH93" s="768" t="str">
        <f t="shared" si="47"/>
        <v/>
      </c>
      <c r="AI93" s="769"/>
      <c r="AJ93" s="770" t="str">
        <f t="shared" si="48"/>
        <v/>
      </c>
      <c r="AK93" s="763"/>
      <c r="AL93" s="771"/>
      <c r="AM93" s="763"/>
      <c r="AN93" s="768" t="str">
        <f t="shared" si="49"/>
        <v/>
      </c>
      <c r="AO93" s="769"/>
      <c r="AP93" s="768" t="str">
        <f t="shared" si="50"/>
        <v/>
      </c>
      <c r="AQ93" s="769"/>
      <c r="AR93" s="768" t="str">
        <f t="shared" si="51"/>
        <v/>
      </c>
      <c r="AS93" s="769"/>
      <c r="AT93" s="768" t="str">
        <f t="shared" si="52"/>
        <v/>
      </c>
      <c r="AU93" s="769"/>
      <c r="AV93" s="764" t="str">
        <f t="shared" si="53"/>
        <v/>
      </c>
      <c r="AW93" s="729"/>
      <c r="AX93" s="730"/>
      <c r="AY93" s="731"/>
      <c r="AZ93" s="731"/>
      <c r="BA93" s="731"/>
      <c r="BB93" s="731"/>
      <c r="BC93" s="733"/>
      <c r="BD93" s="734"/>
      <c r="BE93" s="734"/>
      <c r="BF93" s="734"/>
      <c r="BG93" s="734"/>
      <c r="BH93" s="734"/>
      <c r="BI93" s="734"/>
      <c r="BJ93" s="734"/>
      <c r="BK93" s="734"/>
      <c r="BL93" s="734"/>
      <c r="BM93" s="734"/>
      <c r="BN93" s="734"/>
      <c r="BO93" s="734"/>
      <c r="BP93" s="734"/>
    </row>
    <row r="94" spans="2:68" s="709" customFormat="1" x14ac:dyDescent="0.3">
      <c r="B94" s="664"/>
      <c r="C94" s="754"/>
      <c r="D94" s="755" t="str">
        <f t="shared" si="29"/>
        <v/>
      </c>
      <c r="E94" s="756" t="str">
        <f t="shared" si="30"/>
        <v/>
      </c>
      <c r="F94" s="757" t="str">
        <f t="shared" si="31"/>
        <v/>
      </c>
      <c r="G94" s="758" t="str">
        <f t="shared" si="38"/>
        <v/>
      </c>
      <c r="H94" s="758" t="str">
        <f t="shared" si="39"/>
        <v/>
      </c>
      <c r="I94" s="756" t="str">
        <f t="shared" si="32"/>
        <v/>
      </c>
      <c r="J94" s="759" t="str">
        <f t="shared" si="33"/>
        <v/>
      </c>
      <c r="K94" s="755" t="str">
        <f t="shared" si="34"/>
        <v/>
      </c>
      <c r="L94" s="758" t="str">
        <f t="shared" si="35"/>
        <v/>
      </c>
      <c r="M94" s="760" t="str">
        <f t="shared" si="36"/>
        <v/>
      </c>
      <c r="N94" s="668"/>
      <c r="O94" s="772"/>
      <c r="P94" s="763"/>
      <c r="Q94" s="764" t="str">
        <f t="shared" si="40"/>
        <v/>
      </c>
      <c r="R94" s="765"/>
      <c r="S94" s="763"/>
      <c r="T94" s="766" t="str">
        <f t="shared" si="37"/>
        <v/>
      </c>
      <c r="U94" s="767"/>
      <c r="V94" s="768" t="str">
        <f t="shared" si="41"/>
        <v/>
      </c>
      <c r="W94" s="769"/>
      <c r="X94" s="768" t="str">
        <f t="shared" si="42"/>
        <v/>
      </c>
      <c r="Y94" s="769"/>
      <c r="Z94" s="768" t="str">
        <f t="shared" si="43"/>
        <v/>
      </c>
      <c r="AA94" s="769"/>
      <c r="AB94" s="768" t="str">
        <f t="shared" si="44"/>
        <v/>
      </c>
      <c r="AC94" s="769"/>
      <c r="AD94" s="768" t="str">
        <f t="shared" si="45"/>
        <v/>
      </c>
      <c r="AE94" s="769"/>
      <c r="AF94" s="768" t="str">
        <f t="shared" si="46"/>
        <v/>
      </c>
      <c r="AG94" s="769"/>
      <c r="AH94" s="768" t="str">
        <f t="shared" si="47"/>
        <v/>
      </c>
      <c r="AI94" s="769"/>
      <c r="AJ94" s="770" t="str">
        <f t="shared" si="48"/>
        <v/>
      </c>
      <c r="AK94" s="763"/>
      <c r="AL94" s="771"/>
      <c r="AM94" s="763"/>
      <c r="AN94" s="768" t="str">
        <f t="shared" si="49"/>
        <v/>
      </c>
      <c r="AO94" s="769"/>
      <c r="AP94" s="768" t="str">
        <f t="shared" si="50"/>
        <v/>
      </c>
      <c r="AQ94" s="769"/>
      <c r="AR94" s="768" t="str">
        <f t="shared" si="51"/>
        <v/>
      </c>
      <c r="AS94" s="769"/>
      <c r="AT94" s="768" t="str">
        <f t="shared" si="52"/>
        <v/>
      </c>
      <c r="AU94" s="769"/>
      <c r="AV94" s="764" t="str">
        <f t="shared" si="53"/>
        <v/>
      </c>
      <c r="AW94" s="729"/>
      <c r="AX94" s="730"/>
      <c r="AY94" s="731"/>
      <c r="AZ94" s="731"/>
      <c r="BA94" s="731"/>
      <c r="BB94" s="731"/>
      <c r="BC94" s="733"/>
      <c r="BD94" s="734"/>
      <c r="BE94" s="734"/>
      <c r="BF94" s="734"/>
      <c r="BG94" s="734"/>
      <c r="BH94" s="734"/>
      <c r="BI94" s="734"/>
      <c r="BJ94" s="734"/>
      <c r="BK94" s="734"/>
      <c r="BL94" s="734"/>
      <c r="BM94" s="734"/>
      <c r="BN94" s="734"/>
      <c r="BO94" s="734"/>
      <c r="BP94" s="734"/>
    </row>
    <row r="95" spans="2:68" s="709" customFormat="1" x14ac:dyDescent="0.3">
      <c r="B95" s="664"/>
      <c r="C95" s="754"/>
      <c r="D95" s="755" t="str">
        <f t="shared" si="29"/>
        <v/>
      </c>
      <c r="E95" s="756" t="str">
        <f t="shared" si="30"/>
        <v/>
      </c>
      <c r="F95" s="757" t="str">
        <f t="shared" si="31"/>
        <v/>
      </c>
      <c r="G95" s="758" t="str">
        <f t="shared" si="38"/>
        <v/>
      </c>
      <c r="H95" s="758" t="str">
        <f t="shared" si="39"/>
        <v/>
      </c>
      <c r="I95" s="756" t="str">
        <f t="shared" si="32"/>
        <v/>
      </c>
      <c r="J95" s="759" t="str">
        <f t="shared" si="33"/>
        <v/>
      </c>
      <c r="K95" s="755" t="str">
        <f t="shared" si="34"/>
        <v/>
      </c>
      <c r="L95" s="758" t="str">
        <f t="shared" si="35"/>
        <v/>
      </c>
      <c r="M95" s="760" t="str">
        <f t="shared" si="36"/>
        <v/>
      </c>
      <c r="N95" s="668"/>
      <c r="O95" s="772"/>
      <c r="P95" s="763"/>
      <c r="Q95" s="764" t="str">
        <f t="shared" si="40"/>
        <v/>
      </c>
      <c r="R95" s="765"/>
      <c r="S95" s="763"/>
      <c r="T95" s="766" t="str">
        <f t="shared" si="37"/>
        <v/>
      </c>
      <c r="U95" s="767"/>
      <c r="V95" s="768" t="str">
        <f t="shared" si="41"/>
        <v/>
      </c>
      <c r="W95" s="769"/>
      <c r="X95" s="768" t="str">
        <f t="shared" si="42"/>
        <v/>
      </c>
      <c r="Y95" s="769"/>
      <c r="Z95" s="768" t="str">
        <f t="shared" si="43"/>
        <v/>
      </c>
      <c r="AA95" s="769"/>
      <c r="AB95" s="768" t="str">
        <f t="shared" si="44"/>
        <v/>
      </c>
      <c r="AC95" s="769"/>
      <c r="AD95" s="768" t="str">
        <f t="shared" si="45"/>
        <v/>
      </c>
      <c r="AE95" s="769"/>
      <c r="AF95" s="768" t="str">
        <f t="shared" si="46"/>
        <v/>
      </c>
      <c r="AG95" s="769"/>
      <c r="AH95" s="768" t="str">
        <f t="shared" si="47"/>
        <v/>
      </c>
      <c r="AI95" s="769"/>
      <c r="AJ95" s="770" t="str">
        <f t="shared" si="48"/>
        <v/>
      </c>
      <c r="AK95" s="763"/>
      <c r="AL95" s="771"/>
      <c r="AM95" s="763"/>
      <c r="AN95" s="768" t="str">
        <f t="shared" si="49"/>
        <v/>
      </c>
      <c r="AO95" s="769"/>
      <c r="AP95" s="768" t="str">
        <f t="shared" si="50"/>
        <v/>
      </c>
      <c r="AQ95" s="769"/>
      <c r="AR95" s="768" t="str">
        <f t="shared" si="51"/>
        <v/>
      </c>
      <c r="AS95" s="769"/>
      <c r="AT95" s="768" t="str">
        <f t="shared" si="52"/>
        <v/>
      </c>
      <c r="AU95" s="769"/>
      <c r="AV95" s="764" t="str">
        <f t="shared" si="53"/>
        <v/>
      </c>
      <c r="AW95" s="729"/>
      <c r="AX95" s="730"/>
      <c r="AY95" s="731"/>
      <c r="AZ95" s="731"/>
      <c r="BA95" s="731"/>
      <c r="BB95" s="731"/>
      <c r="BC95" s="733"/>
      <c r="BD95" s="734"/>
      <c r="BE95" s="734"/>
      <c r="BF95" s="734"/>
      <c r="BG95" s="734"/>
      <c r="BH95" s="734"/>
      <c r="BI95" s="734"/>
      <c r="BJ95" s="734"/>
      <c r="BK95" s="734"/>
      <c r="BL95" s="734"/>
      <c r="BM95" s="734"/>
      <c r="BN95" s="734"/>
      <c r="BO95" s="734"/>
      <c r="BP95" s="734"/>
    </row>
    <row r="96" spans="2:68" s="709" customFormat="1" x14ac:dyDescent="0.3">
      <c r="B96" s="664"/>
      <c r="C96" s="754"/>
      <c r="D96" s="755" t="str">
        <f t="shared" si="29"/>
        <v/>
      </c>
      <c r="E96" s="756" t="str">
        <f t="shared" si="30"/>
        <v/>
      </c>
      <c r="F96" s="757" t="str">
        <f t="shared" si="31"/>
        <v/>
      </c>
      <c r="G96" s="758" t="str">
        <f t="shared" si="38"/>
        <v/>
      </c>
      <c r="H96" s="758" t="str">
        <f t="shared" si="39"/>
        <v/>
      </c>
      <c r="I96" s="756" t="str">
        <f t="shared" si="32"/>
        <v/>
      </c>
      <c r="J96" s="759" t="str">
        <f t="shared" si="33"/>
        <v/>
      </c>
      <c r="K96" s="755" t="str">
        <f t="shared" si="34"/>
        <v/>
      </c>
      <c r="L96" s="758" t="str">
        <f t="shared" si="35"/>
        <v/>
      </c>
      <c r="M96" s="760" t="str">
        <f t="shared" si="36"/>
        <v/>
      </c>
      <c r="N96" s="668"/>
      <c r="O96" s="772"/>
      <c r="P96" s="763"/>
      <c r="Q96" s="764" t="str">
        <f t="shared" si="40"/>
        <v/>
      </c>
      <c r="R96" s="765"/>
      <c r="S96" s="763"/>
      <c r="T96" s="766" t="str">
        <f t="shared" si="37"/>
        <v/>
      </c>
      <c r="U96" s="767"/>
      <c r="V96" s="768" t="str">
        <f t="shared" si="41"/>
        <v/>
      </c>
      <c r="W96" s="769"/>
      <c r="X96" s="768" t="str">
        <f t="shared" si="42"/>
        <v/>
      </c>
      <c r="Y96" s="769"/>
      <c r="Z96" s="768" t="str">
        <f t="shared" si="43"/>
        <v/>
      </c>
      <c r="AA96" s="769"/>
      <c r="AB96" s="768" t="str">
        <f t="shared" si="44"/>
        <v/>
      </c>
      <c r="AC96" s="769"/>
      <c r="AD96" s="768" t="str">
        <f t="shared" si="45"/>
        <v/>
      </c>
      <c r="AE96" s="769"/>
      <c r="AF96" s="768" t="str">
        <f t="shared" si="46"/>
        <v/>
      </c>
      <c r="AG96" s="769"/>
      <c r="AH96" s="768" t="str">
        <f t="shared" si="47"/>
        <v/>
      </c>
      <c r="AI96" s="769"/>
      <c r="AJ96" s="770" t="str">
        <f t="shared" si="48"/>
        <v/>
      </c>
      <c r="AK96" s="763"/>
      <c r="AL96" s="771"/>
      <c r="AM96" s="763"/>
      <c r="AN96" s="768" t="str">
        <f t="shared" si="49"/>
        <v/>
      </c>
      <c r="AO96" s="769"/>
      <c r="AP96" s="768" t="str">
        <f t="shared" si="50"/>
        <v/>
      </c>
      <c r="AQ96" s="769"/>
      <c r="AR96" s="768" t="str">
        <f t="shared" si="51"/>
        <v/>
      </c>
      <c r="AS96" s="769"/>
      <c r="AT96" s="768" t="str">
        <f t="shared" si="52"/>
        <v/>
      </c>
      <c r="AU96" s="769"/>
      <c r="AV96" s="764" t="str">
        <f t="shared" si="53"/>
        <v/>
      </c>
      <c r="AW96" s="729"/>
      <c r="AX96" s="730"/>
      <c r="AY96" s="731"/>
      <c r="AZ96" s="731"/>
      <c r="BA96" s="731"/>
      <c r="BB96" s="731"/>
      <c r="BC96" s="733"/>
      <c r="BD96" s="734"/>
      <c r="BE96" s="734"/>
      <c r="BF96" s="734"/>
      <c r="BG96" s="734"/>
      <c r="BH96" s="734"/>
      <c r="BI96" s="734"/>
      <c r="BJ96" s="734"/>
      <c r="BK96" s="734"/>
      <c r="BL96" s="734"/>
      <c r="BM96" s="734"/>
      <c r="BN96" s="734"/>
      <c r="BO96" s="734"/>
      <c r="BP96" s="734"/>
    </row>
    <row r="97" spans="2:68" s="709" customFormat="1" x14ac:dyDescent="0.3">
      <c r="B97" s="664"/>
      <c r="C97" s="754"/>
      <c r="D97" s="755" t="str">
        <f t="shared" si="29"/>
        <v/>
      </c>
      <c r="E97" s="756" t="str">
        <f t="shared" si="30"/>
        <v/>
      </c>
      <c r="F97" s="757" t="str">
        <f t="shared" si="31"/>
        <v/>
      </c>
      <c r="G97" s="758" t="str">
        <f t="shared" si="38"/>
        <v/>
      </c>
      <c r="H97" s="758" t="str">
        <f t="shared" si="39"/>
        <v/>
      </c>
      <c r="I97" s="756" t="str">
        <f t="shared" si="32"/>
        <v/>
      </c>
      <c r="J97" s="759" t="str">
        <f t="shared" si="33"/>
        <v/>
      </c>
      <c r="K97" s="755" t="str">
        <f t="shared" si="34"/>
        <v/>
      </c>
      <c r="L97" s="758" t="str">
        <f t="shared" si="35"/>
        <v/>
      </c>
      <c r="M97" s="760" t="str">
        <f t="shared" si="36"/>
        <v/>
      </c>
      <c r="N97" s="668"/>
      <c r="O97" s="772"/>
      <c r="P97" s="763"/>
      <c r="Q97" s="764" t="str">
        <f t="shared" si="40"/>
        <v/>
      </c>
      <c r="R97" s="765"/>
      <c r="S97" s="763"/>
      <c r="T97" s="766" t="str">
        <f t="shared" si="37"/>
        <v/>
      </c>
      <c r="U97" s="767"/>
      <c r="V97" s="768" t="str">
        <f t="shared" si="41"/>
        <v/>
      </c>
      <c r="W97" s="769"/>
      <c r="X97" s="768" t="str">
        <f t="shared" si="42"/>
        <v/>
      </c>
      <c r="Y97" s="769"/>
      <c r="Z97" s="768" t="str">
        <f t="shared" si="43"/>
        <v/>
      </c>
      <c r="AA97" s="769"/>
      <c r="AB97" s="768" t="str">
        <f t="shared" si="44"/>
        <v/>
      </c>
      <c r="AC97" s="769"/>
      <c r="AD97" s="768" t="str">
        <f t="shared" si="45"/>
        <v/>
      </c>
      <c r="AE97" s="769"/>
      <c r="AF97" s="768" t="str">
        <f t="shared" si="46"/>
        <v/>
      </c>
      <c r="AG97" s="769"/>
      <c r="AH97" s="768" t="str">
        <f t="shared" si="47"/>
        <v/>
      </c>
      <c r="AI97" s="769"/>
      <c r="AJ97" s="770" t="str">
        <f t="shared" si="48"/>
        <v/>
      </c>
      <c r="AK97" s="763"/>
      <c r="AL97" s="771"/>
      <c r="AM97" s="763"/>
      <c r="AN97" s="768" t="str">
        <f t="shared" si="49"/>
        <v/>
      </c>
      <c r="AO97" s="769"/>
      <c r="AP97" s="768" t="str">
        <f t="shared" si="50"/>
        <v/>
      </c>
      <c r="AQ97" s="769"/>
      <c r="AR97" s="768" t="str">
        <f t="shared" si="51"/>
        <v/>
      </c>
      <c r="AS97" s="769"/>
      <c r="AT97" s="768" t="str">
        <f t="shared" si="52"/>
        <v/>
      </c>
      <c r="AU97" s="769"/>
      <c r="AV97" s="764" t="str">
        <f t="shared" si="53"/>
        <v/>
      </c>
      <c r="AW97" s="729"/>
      <c r="AX97" s="730"/>
      <c r="AY97" s="731"/>
      <c r="AZ97" s="731"/>
      <c r="BA97" s="731"/>
      <c r="BB97" s="731"/>
      <c r="BC97" s="733"/>
      <c r="BD97" s="734"/>
      <c r="BE97" s="734"/>
      <c r="BF97" s="734"/>
      <c r="BG97" s="734"/>
      <c r="BH97" s="734"/>
      <c r="BI97" s="734"/>
      <c r="BJ97" s="734"/>
      <c r="BK97" s="734"/>
      <c r="BL97" s="734"/>
      <c r="BM97" s="734"/>
      <c r="BN97" s="734"/>
      <c r="BO97" s="734"/>
      <c r="BP97" s="734"/>
    </row>
    <row r="98" spans="2:68" s="709" customFormat="1" ht="13.8" thickBot="1" x14ac:dyDescent="0.35">
      <c r="B98" s="664"/>
      <c r="C98" s="754"/>
      <c r="D98" s="755" t="str">
        <f t="shared" si="29"/>
        <v/>
      </c>
      <c r="E98" s="756" t="str">
        <f t="shared" si="30"/>
        <v/>
      </c>
      <c r="F98" s="757" t="str">
        <f t="shared" si="31"/>
        <v/>
      </c>
      <c r="G98" s="758" t="str">
        <f t="shared" si="38"/>
        <v/>
      </c>
      <c r="H98" s="758" t="str">
        <f t="shared" si="39"/>
        <v/>
      </c>
      <c r="I98" s="756" t="str">
        <f t="shared" si="32"/>
        <v/>
      </c>
      <c r="J98" s="759" t="str">
        <f t="shared" si="33"/>
        <v/>
      </c>
      <c r="K98" s="755" t="str">
        <f t="shared" si="34"/>
        <v/>
      </c>
      <c r="L98" s="758" t="str">
        <f t="shared" si="35"/>
        <v/>
      </c>
      <c r="M98" s="760" t="str">
        <f t="shared" si="36"/>
        <v/>
      </c>
      <c r="N98" s="668"/>
      <c r="O98" s="772"/>
      <c r="P98" s="763"/>
      <c r="Q98" s="764" t="str">
        <f t="shared" si="40"/>
        <v/>
      </c>
      <c r="R98" s="765"/>
      <c r="S98" s="763"/>
      <c r="T98" s="766" t="str">
        <f t="shared" si="37"/>
        <v/>
      </c>
      <c r="U98" s="767"/>
      <c r="V98" s="768" t="str">
        <f t="shared" si="41"/>
        <v/>
      </c>
      <c r="W98" s="769"/>
      <c r="X98" s="768" t="str">
        <f t="shared" si="42"/>
        <v/>
      </c>
      <c r="Y98" s="769"/>
      <c r="Z98" s="768" t="str">
        <f t="shared" si="43"/>
        <v/>
      </c>
      <c r="AA98" s="769"/>
      <c r="AB98" s="768" t="str">
        <f t="shared" si="44"/>
        <v/>
      </c>
      <c r="AC98" s="769"/>
      <c r="AD98" s="768" t="str">
        <f t="shared" si="45"/>
        <v/>
      </c>
      <c r="AE98" s="769"/>
      <c r="AF98" s="768" t="str">
        <f t="shared" si="46"/>
        <v/>
      </c>
      <c r="AG98" s="769"/>
      <c r="AH98" s="768" t="str">
        <f t="shared" si="47"/>
        <v/>
      </c>
      <c r="AI98" s="769"/>
      <c r="AJ98" s="770" t="str">
        <f t="shared" si="48"/>
        <v/>
      </c>
      <c r="AK98" s="763"/>
      <c r="AL98" s="771"/>
      <c r="AM98" s="763"/>
      <c r="AN98" s="768" t="str">
        <f t="shared" si="49"/>
        <v/>
      </c>
      <c r="AO98" s="769"/>
      <c r="AP98" s="768" t="str">
        <f t="shared" si="50"/>
        <v/>
      </c>
      <c r="AQ98" s="769"/>
      <c r="AR98" s="768" t="str">
        <f t="shared" si="51"/>
        <v/>
      </c>
      <c r="AS98" s="769"/>
      <c r="AT98" s="768" t="str">
        <f t="shared" si="52"/>
        <v/>
      </c>
      <c r="AU98" s="769"/>
      <c r="AV98" s="764" t="str">
        <f t="shared" si="53"/>
        <v/>
      </c>
      <c r="AW98" s="729"/>
      <c r="AX98" s="774"/>
      <c r="AY98" s="775"/>
      <c r="AZ98" s="775"/>
      <c r="BA98" s="775"/>
      <c r="BB98" s="775"/>
      <c r="BC98" s="776"/>
      <c r="BD98" s="734"/>
      <c r="BE98" s="734"/>
      <c r="BF98" s="734"/>
      <c r="BG98" s="734"/>
      <c r="BH98" s="734"/>
      <c r="BI98" s="734"/>
      <c r="BJ98" s="734"/>
      <c r="BK98" s="734"/>
      <c r="BL98" s="734"/>
      <c r="BM98" s="734"/>
      <c r="BN98" s="734"/>
      <c r="BO98" s="734"/>
      <c r="BP98" s="734"/>
    </row>
    <row r="99" spans="2:68" ht="13.8" thickBot="1" x14ac:dyDescent="0.3">
      <c r="B99" s="686"/>
      <c r="C99" s="777"/>
      <c r="D99" s="778" t="str">
        <f t="shared" si="29"/>
        <v/>
      </c>
      <c r="E99" s="779" t="str">
        <f t="shared" si="30"/>
        <v/>
      </c>
      <c r="F99" s="780" t="str">
        <f t="shared" si="31"/>
        <v/>
      </c>
      <c r="G99" s="781" t="str">
        <f t="shared" si="38"/>
        <v/>
      </c>
      <c r="H99" s="781" t="str">
        <f t="shared" si="39"/>
        <v/>
      </c>
      <c r="I99" s="779" t="str">
        <f t="shared" si="32"/>
        <v/>
      </c>
      <c r="J99" s="782" t="str">
        <f t="shared" si="33"/>
        <v/>
      </c>
      <c r="K99" s="778" t="str">
        <f t="shared" si="34"/>
        <v/>
      </c>
      <c r="L99" s="781" t="str">
        <f t="shared" si="35"/>
        <v/>
      </c>
      <c r="M99" s="783" t="str">
        <f t="shared" si="36"/>
        <v/>
      </c>
      <c r="N99" s="784"/>
      <c r="O99" s="785"/>
      <c r="P99" s="786"/>
      <c r="Q99" s="622" t="str">
        <f t="shared" si="40"/>
        <v/>
      </c>
      <c r="R99" s="787"/>
      <c r="S99" s="786"/>
      <c r="T99" s="788" t="str">
        <f t="shared" si="37"/>
        <v/>
      </c>
      <c r="U99" s="789"/>
      <c r="V99" s="790" t="str">
        <f t="shared" si="41"/>
        <v/>
      </c>
      <c r="W99" s="791"/>
      <c r="X99" s="790" t="str">
        <f t="shared" si="42"/>
        <v/>
      </c>
      <c r="Y99" s="791"/>
      <c r="Z99" s="790" t="str">
        <f t="shared" si="43"/>
        <v/>
      </c>
      <c r="AA99" s="791"/>
      <c r="AB99" s="790" t="str">
        <f t="shared" si="44"/>
        <v/>
      </c>
      <c r="AC99" s="791"/>
      <c r="AD99" s="790" t="str">
        <f t="shared" si="45"/>
        <v/>
      </c>
      <c r="AE99" s="791"/>
      <c r="AF99" s="790" t="str">
        <f t="shared" si="46"/>
        <v/>
      </c>
      <c r="AG99" s="791"/>
      <c r="AH99" s="790" t="str">
        <f t="shared" si="47"/>
        <v/>
      </c>
      <c r="AI99" s="791"/>
      <c r="AJ99" s="792" t="str">
        <f t="shared" si="48"/>
        <v/>
      </c>
      <c r="AK99" s="786"/>
      <c r="AL99" s="793"/>
      <c r="AM99" s="786"/>
      <c r="AN99" s="790" t="str">
        <f t="shared" si="49"/>
        <v/>
      </c>
      <c r="AO99" s="791"/>
      <c r="AP99" s="790" t="str">
        <f t="shared" si="50"/>
        <v/>
      </c>
      <c r="AQ99" s="791"/>
      <c r="AR99" s="790" t="str">
        <f t="shared" si="51"/>
        <v/>
      </c>
      <c r="AS99" s="791"/>
      <c r="AT99" s="790" t="str">
        <f t="shared" si="52"/>
        <v/>
      </c>
      <c r="AU99" s="791"/>
      <c r="AV99" s="622" t="str">
        <f t="shared" si="53"/>
        <v/>
      </c>
      <c r="AW99" s="602"/>
      <c r="AX99" s="602"/>
      <c r="AY99" s="602"/>
      <c r="AZ99" s="602"/>
      <c r="BA99" s="602"/>
      <c r="BB99" s="602"/>
      <c r="BC99" s="602"/>
      <c r="BD99" s="602"/>
      <c r="BE99" s="602"/>
      <c r="BF99" s="602"/>
      <c r="BG99" s="602"/>
      <c r="BH99" s="602"/>
      <c r="BI99" s="602"/>
      <c r="BJ99" s="602"/>
      <c r="BK99" s="602"/>
      <c r="BL99" s="602"/>
      <c r="BM99" s="602"/>
      <c r="BN99" s="602"/>
      <c r="BO99" s="602"/>
      <c r="BP99" s="602"/>
    </row>
    <row r="100" spans="2:68" ht="15.9" customHeight="1" thickBot="1" x14ac:dyDescent="0.3">
      <c r="K100" s="598"/>
      <c r="L100" s="598"/>
      <c r="Q100" s="597"/>
      <c r="R100" s="597"/>
      <c r="AW100" s="1747"/>
      <c r="AX100" s="1747"/>
      <c r="AY100" s="602"/>
      <c r="AZ100" s="602"/>
      <c r="BA100" s="602"/>
      <c r="BB100" s="602"/>
      <c r="BC100" s="602"/>
      <c r="BD100" s="602"/>
      <c r="BE100" s="602"/>
      <c r="BF100" s="602"/>
      <c r="BG100" s="602"/>
      <c r="BH100" s="602"/>
      <c r="BI100" s="602"/>
      <c r="BJ100" s="602"/>
      <c r="BK100" s="602"/>
      <c r="BL100" s="602"/>
      <c r="BM100" s="602"/>
      <c r="BN100" s="602"/>
      <c r="BO100" s="602"/>
      <c r="BP100" s="602"/>
    </row>
    <row r="101" spans="2:68" ht="13.8" thickBot="1" x14ac:dyDescent="0.3">
      <c r="K101" s="598"/>
      <c r="L101" s="598"/>
      <c r="N101" s="1748" t="s">
        <v>1189</v>
      </c>
      <c r="O101" s="1749"/>
      <c r="P101" s="1736" t="str">
        <f>IF(COUNTIF(Q20:Q$99,"FAIL")&lt;&gt;0,"FAIL","PASS")</f>
        <v>PASS</v>
      </c>
      <c r="Q101" s="1737"/>
      <c r="R101" s="794" t="s">
        <v>40</v>
      </c>
      <c r="S101" s="1736" t="str">
        <f>IF(COUNTIF(T20:T$99,"FAIL")&lt;&gt;0,"FAIL","PASS")</f>
        <v>PASS</v>
      </c>
      <c r="T101" s="1737"/>
      <c r="U101" s="1736" t="str">
        <f>IF(COUNTIF(V20:V$99,"FAIL")&lt;&gt;0,"FAIL","PASS")</f>
        <v>PASS</v>
      </c>
      <c r="V101" s="1737"/>
      <c r="W101" s="1736" t="str">
        <f>IF(COUNTIF(X20:X$99,"FAIL")&lt;&gt;0,"FAIL","PASS")</f>
        <v>PASS</v>
      </c>
      <c r="X101" s="1737"/>
      <c r="Y101" s="1736" t="str">
        <f>IF(COUNTIF(Z20:Z$99,"FAIL")&lt;&gt;0,"FAIL","PASS")</f>
        <v>PASS</v>
      </c>
      <c r="Z101" s="1737"/>
      <c r="AA101" s="1736" t="str">
        <f>IF(COUNTIF(AB20:AB$99,"FAIL")&lt;&gt;0,"FAIL","PASS")</f>
        <v>PASS</v>
      </c>
      <c r="AB101" s="1737"/>
      <c r="AC101" s="1736" t="str">
        <f>IF(COUNTIF(AD20:AD$99,"FAIL")&lt;&gt;0,"FAIL","PASS")</f>
        <v>PASS</v>
      </c>
      <c r="AD101" s="1737"/>
      <c r="AE101" s="1736" t="str">
        <f>IF(COUNTIF(AF20:AF$99,"FAIL")&lt;&gt;0,"FAIL","PASS")</f>
        <v>PASS</v>
      </c>
      <c r="AF101" s="1737"/>
      <c r="AG101" s="1736" t="str">
        <f>IF(COUNTIF(AH20:AH$99,"FAIL")&lt;&gt;0,"FAIL","PASS")</f>
        <v>PASS</v>
      </c>
      <c r="AH101" s="1737"/>
      <c r="AI101" s="1736" t="str">
        <f>IF(COUNTIF(AJ20:AJ$99,"FAIL")&lt;&gt;0,"FAIL","PASS")</f>
        <v>PASS</v>
      </c>
      <c r="AJ101" s="1737"/>
      <c r="AK101" s="794" t="s">
        <v>40</v>
      </c>
      <c r="AL101" s="794" t="s">
        <v>40</v>
      </c>
      <c r="AM101" s="1736" t="str">
        <f>IF(COUNTIF(AN20:AN$99,"FAIL")&lt;&gt;0,"FAIL","PASS")</f>
        <v>PASS</v>
      </c>
      <c r="AN101" s="1737"/>
      <c r="AO101" s="1736" t="str">
        <f>IF(COUNTIF(AP20:AP$99,"FAIL")&lt;&gt;0,"FAIL","PASS")</f>
        <v>PASS</v>
      </c>
      <c r="AP101" s="1737"/>
      <c r="AQ101" s="1736" t="str">
        <f>IF(COUNTIF(AR20:AR$99,"FAIL")&lt;&gt;0,"FAIL","PASS")</f>
        <v>PASS</v>
      </c>
      <c r="AR101" s="1737"/>
      <c r="AS101" s="1736" t="str">
        <f>IF(COUNTIF(AT20:AT$99,"FAIL")&lt;&gt;0,"FAIL","PASS")</f>
        <v>PASS</v>
      </c>
      <c r="AT101" s="1737"/>
      <c r="AU101" s="1736" t="str">
        <f>IF(COUNTIF(AV20:AV$99,"FAIL")&lt;&gt;0,"FAIL","PASS")</f>
        <v>PASS</v>
      </c>
      <c r="AV101" s="1737"/>
      <c r="AW101" s="602"/>
      <c r="AX101" s="602"/>
      <c r="AY101" s="602"/>
      <c r="AZ101" s="602"/>
      <c r="BA101" s="602"/>
      <c r="BB101" s="602"/>
      <c r="BC101" s="602"/>
      <c r="BD101" s="602"/>
      <c r="BE101" s="602"/>
      <c r="BF101" s="602"/>
      <c r="BG101" s="602"/>
      <c r="BH101" s="602"/>
      <c r="BI101" s="602"/>
      <c r="BJ101" s="602"/>
      <c r="BK101" s="602"/>
      <c r="BL101" s="602"/>
      <c r="BM101" s="602"/>
      <c r="BN101" s="602"/>
      <c r="BO101" s="602"/>
      <c r="BP101" s="602"/>
    </row>
  </sheetData>
  <sheetProtection algorithmName="SHA-512" hashValue="e1a7YwAgY3z4p7kjrNWlbvWHjc2Q01dZfZCw7pM3Lb8O8MHtt9qSZq/YpaI66Zu7AaMpGpkG9yZ+MgS335WOvw==" saltValue="sNNQmXXYxaWjpM8L9tzm1g==" spinCount="100000" sheet="1" objects="1" scenarios="1"/>
  <mergeCells count="72">
    <mergeCell ref="C2:R2"/>
    <mergeCell ref="B4:R4"/>
    <mergeCell ref="T4:BC4"/>
    <mergeCell ref="U5:V5"/>
    <mergeCell ref="W5:X5"/>
    <mergeCell ref="Y5:Z5"/>
    <mergeCell ref="AA5:AB5"/>
    <mergeCell ref="AC5:AD5"/>
    <mergeCell ref="AE5:AF5"/>
    <mergeCell ref="AG5:AH5"/>
    <mergeCell ref="AW5:AX5"/>
    <mergeCell ref="AI5:AJ5"/>
    <mergeCell ref="AM5:AN5"/>
    <mergeCell ref="AO5:AP5"/>
    <mergeCell ref="AQ5:AR5"/>
    <mergeCell ref="AS5:AT5"/>
    <mergeCell ref="BE7:BJ8"/>
    <mergeCell ref="B14:M14"/>
    <mergeCell ref="AO15:AX15"/>
    <mergeCell ref="B16:E16"/>
    <mergeCell ref="F16:M16"/>
    <mergeCell ref="O16:AV16"/>
    <mergeCell ref="AU5:AV5"/>
    <mergeCell ref="N17:N18"/>
    <mergeCell ref="B17:B18"/>
    <mergeCell ref="C17:C18"/>
    <mergeCell ref="D17:D18"/>
    <mergeCell ref="E17:E18"/>
    <mergeCell ref="G17:G18"/>
    <mergeCell ref="H17:H18"/>
    <mergeCell ref="I17:I18"/>
    <mergeCell ref="J17:J18"/>
    <mergeCell ref="K17:K18"/>
    <mergeCell ref="L17:L18"/>
    <mergeCell ref="M17:M18"/>
    <mergeCell ref="AI17:AJ17"/>
    <mergeCell ref="O17:O18"/>
    <mergeCell ref="P17:Q17"/>
    <mergeCell ref="R17:R18"/>
    <mergeCell ref="S17:T17"/>
    <mergeCell ref="U17:V17"/>
    <mergeCell ref="W17:X17"/>
    <mergeCell ref="Y17:Z17"/>
    <mergeCell ref="AU17:AV17"/>
    <mergeCell ref="AK17:AK18"/>
    <mergeCell ref="AL17:AL18"/>
    <mergeCell ref="AM17:AN17"/>
    <mergeCell ref="AO17:AP17"/>
    <mergeCell ref="AQ17:AR17"/>
    <mergeCell ref="AS17:AT17"/>
    <mergeCell ref="AG101:AH101"/>
    <mergeCell ref="AI101:AJ101"/>
    <mergeCell ref="AA17:AB17"/>
    <mergeCell ref="AC17:AD17"/>
    <mergeCell ref="AE17:AF17"/>
    <mergeCell ref="AG17:AH17"/>
    <mergeCell ref="AM101:AN101"/>
    <mergeCell ref="AO101:AP101"/>
    <mergeCell ref="AX20:BC22"/>
    <mergeCell ref="AW100:AX100"/>
    <mergeCell ref="N101:O101"/>
    <mergeCell ref="P101:Q101"/>
    <mergeCell ref="S101:T101"/>
    <mergeCell ref="U101:V101"/>
    <mergeCell ref="W101:X101"/>
    <mergeCell ref="Y101:Z101"/>
    <mergeCell ref="AA101:AB101"/>
    <mergeCell ref="AQ101:AR101"/>
    <mergeCell ref="AS101:AT101"/>
    <mergeCell ref="AU101:AV101"/>
    <mergeCell ref="AC101:AD101"/>
    <mergeCell ref="AE101:AF101"/>
  </mergeCells>
  <conditionalFormatting sqref="N7:N13">
    <cfRule type="containsBlanks" dxfId="1484" priority="6">
      <formula>LEN(TRIM(N7))=0</formula>
    </cfRule>
  </conditionalFormatting>
  <conditionalFormatting sqref="B16:AV101">
    <cfRule type="cellIs" dxfId="1483" priority="2" operator="equal">
      <formula>"ENTER VOLUME"</formula>
    </cfRule>
  </conditionalFormatting>
  <conditionalFormatting sqref="B101:N101 P101 R101:S101 U101 W101 Y101 AA101 AC101 AE101 AG101 AI101 AK101:AM101 AO101 AQ101 AS101 AU101 B16:AV100">
    <cfRule type="cellIs" dxfId="1482" priority="4" operator="equal">
      <formula>"PASS"</formula>
    </cfRule>
    <cfRule type="cellIs" dxfId="1481" priority="5" operator="equal">
      <formula>"FAIL"</formula>
    </cfRule>
  </conditionalFormatting>
  <conditionalFormatting sqref="B101:N101 P101 R101:S101 U101 W101 Y101 AA101 AC101 AE101 AG101 AI101 AK101:AM101 AO101 AQ101 AS101 AU101 B16:AV100">
    <cfRule type="cellIs" dxfId="1480" priority="3" operator="equal">
      <formula>"ENTER VOLUME"</formula>
    </cfRule>
  </conditionalFormatting>
  <conditionalFormatting sqref="N6">
    <cfRule type="containsBlanks" dxfId="1479" priority="1">
      <formula>LEN(TRIM(N6))=0</formula>
    </cfRule>
  </conditionalFormatting>
  <dataValidations count="2">
    <dataValidation type="list" allowBlank="1" showInputMessage="1" showErrorMessage="1" sqref="C20:C99" xr:uid="{BC77EE5E-1BE8-B544-8617-8416BE116819}">
      <formula1>$B$7:$B$13</formula1>
    </dataValidation>
    <dataValidation allowBlank="1" showInputMessage="1" showErrorMessage="1" promptTitle="Requirements" prompt="Required if Bedroom &gt;= 150 CFM" sqref="AQ17:AW17" xr:uid="{6636F36E-D995-684F-9A34-99C5B593E4D2}"/>
  </dataValidations>
  <pageMargins left="0.25" right="0.25" top="0.75" bottom="0.75" header="0.3" footer="0.3"/>
  <pageSetup scale="57" fitToWidth="2" fitToHeight="0" orientation="landscape" horizontalDpi="1200" verticalDpi="1200" r:id="rId1"/>
  <drawing r:id="rId2"/>
  <legacyDrawing r:id="rId3"/>
  <tableParts count="2">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BA10-6FA4-CE45-AC1C-AEA3D8C0A9C6}">
  <sheetPr codeName="Sheet4">
    <tabColor theme="7" tint="0.79998168889431442"/>
  </sheetPr>
  <dimension ref="A1:U41"/>
  <sheetViews>
    <sheetView zoomScaleNormal="100" workbookViewId="0">
      <selection activeCell="B2" sqref="B2"/>
    </sheetView>
  </sheetViews>
  <sheetFormatPr defaultColWidth="8.8984375" defaultRowHeight="15.6" x14ac:dyDescent="0.3"/>
  <cols>
    <col min="1" max="1" width="6.59765625" customWidth="1"/>
    <col min="2" max="2" width="29.3984375" customWidth="1"/>
    <col min="3" max="10" width="16.59765625" customWidth="1"/>
    <col min="11" max="11" width="2.59765625" customWidth="1"/>
    <col min="12" max="13" width="9.09765625" customWidth="1"/>
  </cols>
  <sheetData>
    <row r="1" spans="1:21" ht="16.2" thickBot="1" x14ac:dyDescent="0.35">
      <c r="A1" s="796"/>
      <c r="B1" s="797"/>
      <c r="C1" s="797"/>
      <c r="D1" s="797"/>
      <c r="E1" s="797"/>
      <c r="F1" s="797"/>
      <c r="G1" s="797"/>
    </row>
    <row r="2" spans="1:21" ht="80.25" customHeight="1" thickBot="1" x14ac:dyDescent="0.35">
      <c r="B2" s="599" t="s">
        <v>1062</v>
      </c>
      <c r="C2" s="1791" t="s">
        <v>1190</v>
      </c>
      <c r="D2" s="1791"/>
      <c r="E2" s="1791"/>
      <c r="F2" s="1791"/>
      <c r="G2" s="1791"/>
      <c r="H2" s="1791"/>
      <c r="I2" s="1791"/>
      <c r="J2" s="1792"/>
      <c r="L2" s="798"/>
      <c r="M2" s="798"/>
      <c r="N2" s="798"/>
      <c r="O2" s="798"/>
      <c r="P2" s="798"/>
      <c r="Q2" s="798"/>
      <c r="R2" s="798"/>
    </row>
    <row r="3" spans="1:21" x14ac:dyDescent="0.3">
      <c r="A3" s="796"/>
      <c r="B3" s="797"/>
      <c r="C3" s="797"/>
      <c r="D3" s="797"/>
      <c r="E3" s="797"/>
      <c r="F3" s="797"/>
      <c r="G3" s="797"/>
      <c r="L3" s="798"/>
      <c r="M3" s="798"/>
      <c r="N3" s="798"/>
      <c r="O3" s="798"/>
      <c r="P3" s="798"/>
      <c r="Q3" s="798"/>
      <c r="R3" s="798"/>
    </row>
    <row r="4" spans="1:21" ht="15.9" customHeight="1" x14ac:dyDescent="0.3">
      <c r="B4" s="349" t="s">
        <v>1191</v>
      </c>
      <c r="L4" s="799"/>
      <c r="M4" s="799"/>
      <c r="N4" s="799"/>
      <c r="O4" s="799"/>
      <c r="P4" s="799"/>
      <c r="Q4" s="799"/>
      <c r="R4" s="798"/>
    </row>
    <row r="5" spans="1:21" ht="16.350000000000001" customHeight="1" thickBot="1" x14ac:dyDescent="0.35">
      <c r="B5" s="349"/>
      <c r="L5" s="800"/>
      <c r="M5" s="800"/>
      <c r="N5" s="800"/>
      <c r="O5" s="800"/>
      <c r="P5" s="800"/>
      <c r="Q5" s="800"/>
      <c r="R5" s="798"/>
    </row>
    <row r="6" spans="1:21" s="801" customFormat="1" ht="16.2" thickBot="1" x14ac:dyDescent="0.35">
      <c r="B6" s="802" t="s">
        <v>1192</v>
      </c>
      <c r="C6" s="803" t="s">
        <v>554</v>
      </c>
      <c r="D6" s="803" t="s">
        <v>1105</v>
      </c>
      <c r="E6" s="803" t="s">
        <v>1106</v>
      </c>
      <c r="F6" s="803" t="s">
        <v>1107</v>
      </c>
      <c r="G6" s="803" t="s">
        <v>1108</v>
      </c>
      <c r="H6" s="803" t="s">
        <v>1109</v>
      </c>
      <c r="I6" s="803" t="s">
        <v>1110</v>
      </c>
      <c r="J6" s="803" t="s">
        <v>1111</v>
      </c>
      <c r="K6" s="804"/>
      <c r="L6" s="1793" t="s">
        <v>1158</v>
      </c>
      <c r="M6" s="1794"/>
      <c r="N6" s="1794"/>
      <c r="O6" s="1794"/>
      <c r="P6" s="1794"/>
      <c r="Q6" s="1795"/>
      <c r="R6" s="707"/>
      <c r="S6" s="804"/>
      <c r="T6" s="804"/>
      <c r="U6" s="804"/>
    </row>
    <row r="7" spans="1:21" s="801" customFormat="1" ht="47.4" thickBot="1" x14ac:dyDescent="0.35">
      <c r="A7"/>
      <c r="B7" s="805" t="s">
        <v>1193</v>
      </c>
      <c r="C7" s="806"/>
      <c r="D7" s="807"/>
      <c r="E7" s="807"/>
      <c r="F7" s="807"/>
      <c r="G7" s="807"/>
      <c r="H7" s="807"/>
      <c r="I7" s="807"/>
      <c r="J7" s="808"/>
      <c r="K7" s="809"/>
      <c r="L7" s="1796"/>
      <c r="M7" s="1797"/>
      <c r="N7" s="1797"/>
      <c r="O7" s="1797"/>
      <c r="P7" s="1797"/>
      <c r="Q7" s="1798"/>
      <c r="R7" s="729"/>
      <c r="S7" s="734"/>
      <c r="T7" s="729"/>
      <c r="U7" s="729"/>
    </row>
    <row r="8" spans="1:21" s="801" customFormat="1" x14ac:dyDescent="0.3">
      <c r="A8"/>
      <c r="B8" s="810" t="s">
        <v>1194</v>
      </c>
      <c r="C8" s="811"/>
      <c r="D8" s="726"/>
      <c r="E8" s="726"/>
      <c r="F8" s="726"/>
      <c r="G8" s="726"/>
      <c r="H8" s="726"/>
      <c r="I8" s="726"/>
      <c r="J8" s="812"/>
      <c r="K8" s="809"/>
      <c r="L8" s="730"/>
      <c r="M8" s="731"/>
      <c r="N8" s="813"/>
      <c r="O8" s="813"/>
      <c r="P8" s="731"/>
      <c r="Q8" s="814"/>
      <c r="R8" s="729"/>
      <c r="S8" s="734"/>
      <c r="T8" s="729"/>
      <c r="U8" s="729"/>
    </row>
    <row r="9" spans="1:21" s="801" customFormat="1" x14ac:dyDescent="0.3">
      <c r="B9" s="815" t="s">
        <v>1194</v>
      </c>
      <c r="C9" s="816"/>
      <c r="D9" s="769"/>
      <c r="E9" s="769"/>
      <c r="F9" s="769"/>
      <c r="G9" s="769"/>
      <c r="H9" s="769"/>
      <c r="I9" s="769"/>
      <c r="J9" s="817"/>
      <c r="K9" s="809"/>
      <c r="L9" s="730"/>
      <c r="M9" s="731"/>
      <c r="N9" s="813"/>
      <c r="O9" s="813"/>
      <c r="P9" s="731"/>
      <c r="Q9" s="814"/>
      <c r="R9" s="729"/>
      <c r="S9" s="734"/>
      <c r="T9" s="729"/>
      <c r="U9" s="729"/>
    </row>
    <row r="10" spans="1:21" s="801" customFormat="1" x14ac:dyDescent="0.3">
      <c r="B10" s="815" t="s">
        <v>1194</v>
      </c>
      <c r="C10" s="816"/>
      <c r="D10" s="769"/>
      <c r="E10" s="769"/>
      <c r="F10" s="769"/>
      <c r="G10" s="769"/>
      <c r="H10" s="769"/>
      <c r="I10" s="769"/>
      <c r="J10" s="817"/>
      <c r="K10" s="809"/>
      <c r="L10" s="730"/>
      <c r="M10" s="731"/>
      <c r="N10" s="813"/>
      <c r="O10" s="813"/>
      <c r="P10" s="731"/>
      <c r="Q10" s="814"/>
      <c r="R10" s="729"/>
      <c r="S10" s="734"/>
      <c r="T10" s="729"/>
      <c r="U10" s="729"/>
    </row>
    <row r="11" spans="1:21" s="801" customFormat="1" x14ac:dyDescent="0.3">
      <c r="B11" s="815" t="s">
        <v>1194</v>
      </c>
      <c r="C11" s="816"/>
      <c r="D11" s="769"/>
      <c r="E11" s="769"/>
      <c r="F11" s="769"/>
      <c r="G11" s="769"/>
      <c r="H11" s="769"/>
      <c r="I11" s="769"/>
      <c r="J11" s="817"/>
      <c r="K11" s="809"/>
      <c r="L11" s="730"/>
      <c r="M11" s="731"/>
      <c r="N11" s="813"/>
      <c r="O11" s="813"/>
      <c r="P11" s="731"/>
      <c r="Q11" s="814"/>
      <c r="R11" s="729"/>
      <c r="S11" s="734"/>
      <c r="T11" s="729"/>
      <c r="U11" s="729"/>
    </row>
    <row r="12" spans="1:21" s="801" customFormat="1" x14ac:dyDescent="0.3">
      <c r="B12" s="815" t="s">
        <v>1194</v>
      </c>
      <c r="C12" s="816"/>
      <c r="D12" s="769"/>
      <c r="E12" s="769"/>
      <c r="F12" s="769"/>
      <c r="G12" s="769"/>
      <c r="H12" s="769"/>
      <c r="I12" s="769"/>
      <c r="J12" s="817"/>
      <c r="K12" s="809"/>
      <c r="L12" s="730"/>
      <c r="M12" s="731"/>
      <c r="N12" s="813"/>
      <c r="O12" s="813"/>
      <c r="P12" s="731"/>
      <c r="Q12" s="814"/>
      <c r="R12" s="729"/>
      <c r="S12" s="734"/>
      <c r="T12" s="729"/>
      <c r="U12" s="729"/>
    </row>
    <row r="13" spans="1:21" s="801" customFormat="1" x14ac:dyDescent="0.3">
      <c r="B13" s="815" t="s">
        <v>1194</v>
      </c>
      <c r="C13" s="816"/>
      <c r="D13" s="769"/>
      <c r="E13" s="769"/>
      <c r="F13" s="769"/>
      <c r="G13" s="769"/>
      <c r="H13" s="769"/>
      <c r="I13" s="769"/>
      <c r="J13" s="817"/>
      <c r="K13" s="809"/>
      <c r="L13" s="730"/>
      <c r="M13" s="731"/>
      <c r="N13" s="813"/>
      <c r="O13" s="813"/>
      <c r="P13" s="731"/>
      <c r="Q13" s="814"/>
      <c r="R13" s="729"/>
      <c r="S13" s="734"/>
      <c r="T13" s="729"/>
      <c r="U13" s="729"/>
    </row>
    <row r="14" spans="1:21" s="801" customFormat="1" x14ac:dyDescent="0.3">
      <c r="B14" s="815" t="s">
        <v>1194</v>
      </c>
      <c r="C14" s="816"/>
      <c r="D14" s="769"/>
      <c r="E14" s="769"/>
      <c r="F14" s="769"/>
      <c r="G14" s="769"/>
      <c r="H14" s="769"/>
      <c r="I14" s="769"/>
      <c r="J14" s="817"/>
      <c r="K14" s="809"/>
      <c r="L14" s="730"/>
      <c r="M14" s="731"/>
      <c r="N14" s="813"/>
      <c r="O14" s="813"/>
      <c r="P14" s="731"/>
      <c r="Q14" s="814"/>
      <c r="R14" s="729"/>
      <c r="S14" s="734"/>
      <c r="T14" s="729"/>
      <c r="U14" s="729"/>
    </row>
    <row r="15" spans="1:21" s="801" customFormat="1" x14ac:dyDescent="0.3">
      <c r="B15" s="815" t="s">
        <v>1194</v>
      </c>
      <c r="C15" s="816"/>
      <c r="D15" s="769"/>
      <c r="E15" s="769"/>
      <c r="F15" s="769"/>
      <c r="G15" s="769"/>
      <c r="H15" s="769"/>
      <c r="I15" s="769"/>
      <c r="J15" s="817"/>
      <c r="K15" s="809"/>
      <c r="L15" s="730"/>
      <c r="M15" s="731"/>
      <c r="N15" s="813"/>
      <c r="O15" s="813"/>
      <c r="P15" s="731"/>
      <c r="Q15" s="814"/>
      <c r="R15" s="729"/>
      <c r="S15" s="734"/>
      <c r="T15" s="729"/>
      <c r="U15" s="729"/>
    </row>
    <row r="16" spans="1:21" s="801" customFormat="1" ht="30.6" customHeight="1" x14ac:dyDescent="0.3">
      <c r="B16" s="818" t="s">
        <v>1195</v>
      </c>
      <c r="C16" s="819">
        <f t="shared" ref="C16:I16" si="0">SUM(C$8:C$15)</f>
        <v>0</v>
      </c>
      <c r="D16" s="819">
        <f t="shared" si="0"/>
        <v>0</v>
      </c>
      <c r="E16" s="819">
        <f t="shared" si="0"/>
        <v>0</v>
      </c>
      <c r="F16" s="819">
        <f t="shared" si="0"/>
        <v>0</v>
      </c>
      <c r="G16" s="819">
        <f t="shared" si="0"/>
        <v>0</v>
      </c>
      <c r="H16" s="819">
        <f t="shared" si="0"/>
        <v>0</v>
      </c>
      <c r="I16" s="819">
        <f t="shared" si="0"/>
        <v>0</v>
      </c>
      <c r="J16" s="819"/>
      <c r="K16" s="809"/>
      <c r="L16" s="730"/>
      <c r="M16" s="731"/>
      <c r="N16" s="813"/>
      <c r="O16" s="813"/>
      <c r="P16" s="731"/>
      <c r="Q16" s="814"/>
      <c r="R16" s="729"/>
      <c r="S16" s="734"/>
      <c r="T16" s="729"/>
      <c r="U16" s="729"/>
    </row>
    <row r="17" spans="1:21" s="801" customFormat="1" hidden="1" x14ac:dyDescent="0.3">
      <c r="B17" s="820" t="s">
        <v>1196</v>
      </c>
      <c r="C17" s="819">
        <f>C$7*0.15</f>
        <v>0</v>
      </c>
      <c r="D17" s="819">
        <f t="shared" ref="D17:I17" si="1">D$7*0.15</f>
        <v>0</v>
      </c>
      <c r="E17" s="819">
        <f t="shared" si="1"/>
        <v>0</v>
      </c>
      <c r="F17" s="819">
        <f t="shared" si="1"/>
        <v>0</v>
      </c>
      <c r="G17" s="819">
        <f t="shared" si="1"/>
        <v>0</v>
      </c>
      <c r="H17" s="819">
        <f t="shared" si="1"/>
        <v>0</v>
      </c>
      <c r="I17" s="819">
        <f t="shared" si="1"/>
        <v>0</v>
      </c>
      <c r="J17" s="819"/>
      <c r="K17" s="809"/>
      <c r="L17" s="730"/>
      <c r="M17" s="731"/>
      <c r="N17" s="813"/>
      <c r="O17" s="813"/>
      <c r="P17" s="731"/>
      <c r="Q17" s="814"/>
      <c r="R17" s="729"/>
      <c r="S17" s="734"/>
      <c r="T17" s="729"/>
      <c r="U17" s="729"/>
    </row>
    <row r="18" spans="1:21" s="801" customFormat="1" hidden="1" x14ac:dyDescent="0.3">
      <c r="B18" s="820" t="s">
        <v>1197</v>
      </c>
      <c r="C18" s="819">
        <f t="shared" ref="C18:I18" si="2">IF(C$17&gt;15,C$17+C$7,C$7+15)</f>
        <v>15</v>
      </c>
      <c r="D18" s="819">
        <f t="shared" si="2"/>
        <v>15</v>
      </c>
      <c r="E18" s="819">
        <f t="shared" si="2"/>
        <v>15</v>
      </c>
      <c r="F18" s="819">
        <f t="shared" si="2"/>
        <v>15</v>
      </c>
      <c r="G18" s="819">
        <f t="shared" si="2"/>
        <v>15</v>
      </c>
      <c r="H18" s="819">
        <f t="shared" si="2"/>
        <v>15</v>
      </c>
      <c r="I18" s="819">
        <f t="shared" si="2"/>
        <v>15</v>
      </c>
      <c r="J18" s="819"/>
      <c r="K18" s="809"/>
      <c r="L18" s="730"/>
      <c r="M18" s="731"/>
      <c r="N18" s="813"/>
      <c r="O18" s="813"/>
      <c r="P18" s="731"/>
      <c r="Q18" s="814"/>
      <c r="R18" s="729"/>
      <c r="S18" s="734"/>
      <c r="T18" s="729"/>
      <c r="U18" s="729"/>
    </row>
    <row r="19" spans="1:21" s="801" customFormat="1" hidden="1" x14ac:dyDescent="0.3">
      <c r="B19" s="820" t="s">
        <v>1198</v>
      </c>
      <c r="C19" s="819">
        <f t="shared" ref="C19:I19" si="3">IF(C$17&gt;15,C$7-C$17,C$7-15)</f>
        <v>-15</v>
      </c>
      <c r="D19" s="819">
        <f t="shared" si="3"/>
        <v>-15</v>
      </c>
      <c r="E19" s="819">
        <f t="shared" si="3"/>
        <v>-15</v>
      </c>
      <c r="F19" s="819">
        <f t="shared" si="3"/>
        <v>-15</v>
      </c>
      <c r="G19" s="819">
        <f t="shared" si="3"/>
        <v>-15</v>
      </c>
      <c r="H19" s="819">
        <f t="shared" si="3"/>
        <v>-15</v>
      </c>
      <c r="I19" s="819">
        <f t="shared" si="3"/>
        <v>-15</v>
      </c>
      <c r="J19" s="819"/>
      <c r="K19" s="809"/>
      <c r="L19" s="730"/>
      <c r="M19" s="731"/>
      <c r="N19" s="813"/>
      <c r="O19" s="813"/>
      <c r="P19" s="731"/>
      <c r="Q19" s="814"/>
      <c r="R19" s="729"/>
      <c r="S19" s="734"/>
      <c r="T19" s="729"/>
      <c r="U19" s="729"/>
    </row>
    <row r="20" spans="1:21" s="801" customFormat="1" ht="16.2" thickBot="1" x14ac:dyDescent="0.35">
      <c r="B20" s="818" t="s">
        <v>1199</v>
      </c>
      <c r="C20" s="821" t="str">
        <f>IF(OR(C$16=0,C$16=""),"",
IF(AND(C$16&gt;=C$19,C$16&lt;=C$18),"PASS","FAIL"))</f>
        <v/>
      </c>
      <c r="D20" s="821" t="str">
        <f t="shared" ref="D20:I20" si="4">IF(OR(D$16=0,D$16=""),"",
IF(AND(D$16&gt;=D$19,D$16&lt;=D$18),"PASS","FAIL"))</f>
        <v/>
      </c>
      <c r="E20" s="821" t="str">
        <f t="shared" si="4"/>
        <v/>
      </c>
      <c r="F20" s="821" t="str">
        <f t="shared" si="4"/>
        <v/>
      </c>
      <c r="G20" s="821" t="str">
        <f t="shared" si="4"/>
        <v/>
      </c>
      <c r="H20" s="821" t="str">
        <f t="shared" si="4"/>
        <v/>
      </c>
      <c r="I20" s="821" t="str">
        <f t="shared" si="4"/>
        <v/>
      </c>
      <c r="J20" s="821"/>
      <c r="L20" s="822"/>
      <c r="M20" s="823"/>
      <c r="N20" s="823"/>
      <c r="O20" s="823"/>
      <c r="P20" s="823"/>
      <c r="Q20" s="824"/>
      <c r="R20" s="825"/>
    </row>
    <row r="21" spans="1:21" ht="5.25" customHeight="1" x14ac:dyDescent="0.3">
      <c r="B21" s="826"/>
      <c r="C21" s="809"/>
      <c r="D21" s="809"/>
      <c r="E21" s="809"/>
      <c r="F21" s="809"/>
      <c r="G21" s="809"/>
      <c r="H21" s="809"/>
      <c r="I21" s="809"/>
      <c r="J21" s="809"/>
      <c r="L21" s="798"/>
      <c r="M21" s="798"/>
      <c r="N21" s="798"/>
      <c r="O21" s="798"/>
      <c r="P21" s="798"/>
      <c r="Q21" s="798"/>
      <c r="R21" s="798"/>
    </row>
    <row r="22" spans="1:21" ht="5.25" customHeight="1" thickBot="1" x14ac:dyDescent="0.35">
      <c r="B22" s="826"/>
      <c r="C22" s="809"/>
      <c r="D22" s="809"/>
      <c r="E22" s="809"/>
      <c r="F22" s="809"/>
      <c r="G22" s="809"/>
      <c r="H22" s="809"/>
      <c r="I22" s="809"/>
      <c r="J22" s="809"/>
      <c r="L22" s="798"/>
      <c r="M22" s="798"/>
      <c r="N22" s="798"/>
      <c r="O22" s="798"/>
      <c r="P22" s="798"/>
      <c r="Q22" s="798"/>
      <c r="R22" s="798"/>
    </row>
    <row r="23" spans="1:21" ht="30" customHeight="1" thickBot="1" x14ac:dyDescent="0.35">
      <c r="B23" s="827" t="s">
        <v>1200</v>
      </c>
      <c r="C23" s="1799"/>
      <c r="D23" s="1800"/>
      <c r="E23" s="1800"/>
      <c r="F23" s="1800"/>
      <c r="G23" s="1800"/>
      <c r="H23" s="1800"/>
      <c r="I23" s="1800"/>
      <c r="J23" s="1801"/>
      <c r="L23" s="798"/>
      <c r="M23" s="798"/>
      <c r="N23" s="798"/>
      <c r="O23" s="798"/>
      <c r="P23" s="798"/>
      <c r="Q23" s="798"/>
      <c r="R23" s="798"/>
    </row>
    <row r="24" spans="1:21" ht="15" customHeight="1" x14ac:dyDescent="0.3">
      <c r="B24" s="828"/>
      <c r="E24" s="829"/>
      <c r="L24" s="798"/>
      <c r="M24" s="798"/>
      <c r="N24" s="798"/>
      <c r="O24" s="798"/>
      <c r="P24" s="798"/>
      <c r="Q24" s="798"/>
      <c r="R24" s="798"/>
    </row>
    <row r="25" spans="1:21" ht="15" customHeight="1" x14ac:dyDescent="0.3">
      <c r="B25" s="828"/>
      <c r="E25" s="829"/>
      <c r="L25" s="798"/>
      <c r="M25" s="798"/>
      <c r="N25" s="798"/>
      <c r="O25" s="798"/>
      <c r="P25" s="798"/>
      <c r="Q25" s="798"/>
      <c r="R25" s="798"/>
    </row>
    <row r="26" spans="1:21" ht="15.9" customHeight="1" x14ac:dyDescent="0.3">
      <c r="B26" s="349" t="s">
        <v>1201</v>
      </c>
      <c r="L26" s="799"/>
      <c r="M26" s="799"/>
      <c r="N26" s="799"/>
      <c r="O26" s="799"/>
      <c r="P26" s="799"/>
      <c r="Q26" s="799"/>
      <c r="R26" s="798"/>
    </row>
    <row r="27" spans="1:21" ht="16.350000000000001" customHeight="1" thickBot="1" x14ac:dyDescent="0.35">
      <c r="B27" s="349"/>
      <c r="L27" s="799"/>
      <c r="M27" s="799"/>
      <c r="N27" s="799"/>
      <c r="O27" s="799"/>
      <c r="P27" s="799"/>
      <c r="Q27" s="799"/>
      <c r="R27" s="798"/>
    </row>
    <row r="28" spans="1:21" s="801" customFormat="1" ht="16.2" thickBot="1" x14ac:dyDescent="0.35">
      <c r="B28" s="830" t="s">
        <v>1192</v>
      </c>
      <c r="C28" s="831" t="s">
        <v>554</v>
      </c>
      <c r="D28" s="831" t="s">
        <v>1105</v>
      </c>
      <c r="E28" s="831" t="s">
        <v>1106</v>
      </c>
      <c r="F28" s="831" t="s">
        <v>1107</v>
      </c>
      <c r="G28" s="831" t="s">
        <v>1108</v>
      </c>
      <c r="H28" s="831" t="s">
        <v>1109</v>
      </c>
      <c r="I28" s="831" t="s">
        <v>1110</v>
      </c>
      <c r="J28" s="831" t="s">
        <v>1111</v>
      </c>
      <c r="L28" s="1793" t="s">
        <v>1158</v>
      </c>
      <c r="M28" s="1794"/>
      <c r="N28" s="1794"/>
      <c r="O28" s="1794"/>
      <c r="P28" s="1794"/>
      <c r="Q28" s="1795"/>
      <c r="R28" s="825"/>
    </row>
    <row r="29" spans="1:21" s="801" customFormat="1" ht="16.2" thickBot="1" x14ac:dyDescent="0.35">
      <c r="B29" s="805" t="s">
        <v>1202</v>
      </c>
      <c r="C29" s="807"/>
      <c r="D29" s="807"/>
      <c r="E29" s="807"/>
      <c r="F29" s="807"/>
      <c r="G29" s="807"/>
      <c r="H29" s="807"/>
      <c r="I29" s="807"/>
      <c r="J29" s="832"/>
      <c r="L29" s="1796"/>
      <c r="M29" s="1797"/>
      <c r="N29" s="1797"/>
      <c r="O29" s="1797"/>
      <c r="P29" s="1797"/>
      <c r="Q29" s="1798"/>
      <c r="R29" s="825"/>
    </row>
    <row r="30" spans="1:21" s="801" customFormat="1" ht="18" customHeight="1" x14ac:dyDescent="0.3">
      <c r="A30"/>
      <c r="B30" s="810" t="s">
        <v>1194</v>
      </c>
      <c r="C30" s="811"/>
      <c r="D30" s="726"/>
      <c r="E30" s="726"/>
      <c r="F30" s="726"/>
      <c r="G30" s="726"/>
      <c r="H30" s="726"/>
      <c r="I30" s="726"/>
      <c r="J30" s="726"/>
      <c r="L30" s="833"/>
      <c r="M30" s="834"/>
      <c r="N30" s="834"/>
      <c r="O30" s="834"/>
      <c r="P30" s="834"/>
      <c r="Q30" s="835"/>
      <c r="R30" s="825"/>
    </row>
    <row r="31" spans="1:21" s="801" customFormat="1" x14ac:dyDescent="0.3">
      <c r="B31" s="815" t="s">
        <v>1194</v>
      </c>
      <c r="C31" s="769"/>
      <c r="D31" s="769"/>
      <c r="E31" s="769"/>
      <c r="F31" s="769"/>
      <c r="G31" s="769"/>
      <c r="H31" s="769"/>
      <c r="I31" s="769"/>
      <c r="J31" s="769"/>
      <c r="L31" s="833"/>
      <c r="M31" s="834"/>
      <c r="N31" s="834"/>
      <c r="O31" s="834"/>
      <c r="P31" s="834"/>
      <c r="Q31" s="835"/>
      <c r="R31" s="825"/>
    </row>
    <row r="32" spans="1:21" s="801" customFormat="1" x14ac:dyDescent="0.3">
      <c r="B32" s="815" t="s">
        <v>1194</v>
      </c>
      <c r="C32" s="816"/>
      <c r="D32" s="769"/>
      <c r="E32" s="769"/>
      <c r="F32" s="769"/>
      <c r="G32" s="769"/>
      <c r="H32" s="769"/>
      <c r="I32" s="769"/>
      <c r="J32" s="769"/>
      <c r="L32" s="833"/>
      <c r="M32" s="834"/>
      <c r="N32" s="834"/>
      <c r="O32" s="834"/>
      <c r="P32" s="834"/>
      <c r="Q32" s="835"/>
      <c r="R32" s="825"/>
    </row>
    <row r="33" spans="2:18" s="801" customFormat="1" x14ac:dyDescent="0.3">
      <c r="B33" s="815" t="s">
        <v>1194</v>
      </c>
      <c r="C33" s="816"/>
      <c r="D33" s="769"/>
      <c r="E33" s="769"/>
      <c r="F33" s="769"/>
      <c r="G33" s="769"/>
      <c r="H33" s="769"/>
      <c r="I33" s="769"/>
      <c r="J33" s="769"/>
      <c r="L33" s="833"/>
      <c r="M33" s="834"/>
      <c r="N33" s="834"/>
      <c r="O33" s="834"/>
      <c r="P33" s="834"/>
      <c r="Q33" s="835"/>
      <c r="R33" s="825"/>
    </row>
    <row r="34" spans="2:18" s="801" customFormat="1" ht="30" customHeight="1" x14ac:dyDescent="0.3">
      <c r="B34" s="818" t="s">
        <v>1203</v>
      </c>
      <c r="C34" s="819">
        <f>SUM(C$30:C$33)</f>
        <v>0</v>
      </c>
      <c r="D34" s="819">
        <f t="shared" ref="D34:J34" si="5">SUM(D$30:D$33)</f>
        <v>0</v>
      </c>
      <c r="E34" s="819">
        <f t="shared" si="5"/>
        <v>0</v>
      </c>
      <c r="F34" s="819">
        <f t="shared" si="5"/>
        <v>0</v>
      </c>
      <c r="G34" s="819">
        <f t="shared" si="5"/>
        <v>0</v>
      </c>
      <c r="H34" s="819">
        <f t="shared" si="5"/>
        <v>0</v>
      </c>
      <c r="I34" s="819">
        <f t="shared" si="5"/>
        <v>0</v>
      </c>
      <c r="J34" s="819">
        <f t="shared" si="5"/>
        <v>0</v>
      </c>
      <c r="L34" s="833"/>
      <c r="M34" s="834"/>
      <c r="N34" s="834"/>
      <c r="O34" s="834"/>
      <c r="P34" s="834"/>
      <c r="Q34" s="835"/>
      <c r="R34" s="825"/>
    </row>
    <row r="35" spans="2:18" s="801" customFormat="1" hidden="1" x14ac:dyDescent="0.3">
      <c r="B35" s="820" t="s">
        <v>1196</v>
      </c>
      <c r="C35" s="819">
        <f>C$29*0.15</f>
        <v>0</v>
      </c>
      <c r="D35" s="819">
        <f t="shared" ref="D35:I35" si="6">D$29*0.15</f>
        <v>0</v>
      </c>
      <c r="E35" s="819">
        <f t="shared" si="6"/>
        <v>0</v>
      </c>
      <c r="F35" s="819">
        <f t="shared" si="6"/>
        <v>0</v>
      </c>
      <c r="G35" s="819">
        <f t="shared" si="6"/>
        <v>0</v>
      </c>
      <c r="H35" s="819">
        <f t="shared" si="6"/>
        <v>0</v>
      </c>
      <c r="I35" s="819">
        <f t="shared" si="6"/>
        <v>0</v>
      </c>
      <c r="J35" s="768"/>
      <c r="L35" s="833"/>
      <c r="M35" s="834"/>
      <c r="N35" s="834"/>
      <c r="O35" s="834"/>
      <c r="P35" s="834"/>
      <c r="Q35" s="835"/>
      <c r="R35" s="825"/>
    </row>
    <row r="36" spans="2:18" s="801" customFormat="1" hidden="1" x14ac:dyDescent="0.3">
      <c r="B36" s="820" t="s">
        <v>1197</v>
      </c>
      <c r="C36" s="819">
        <f>IF(C$35&gt;15,C$35+C$29,C$29+15)</f>
        <v>15</v>
      </c>
      <c r="D36" s="819">
        <f t="shared" ref="D36:I36" si="7">IF(D$35&gt;15,D$35+D$29,D$29+15)</f>
        <v>15</v>
      </c>
      <c r="E36" s="819">
        <f t="shared" si="7"/>
        <v>15</v>
      </c>
      <c r="F36" s="819">
        <f t="shared" si="7"/>
        <v>15</v>
      </c>
      <c r="G36" s="819">
        <f t="shared" si="7"/>
        <v>15</v>
      </c>
      <c r="H36" s="819">
        <f t="shared" si="7"/>
        <v>15</v>
      </c>
      <c r="I36" s="819">
        <f t="shared" si="7"/>
        <v>15</v>
      </c>
      <c r="J36" s="768"/>
      <c r="L36" s="833"/>
      <c r="M36" s="834"/>
      <c r="N36" s="834"/>
      <c r="O36" s="834"/>
      <c r="P36" s="834"/>
      <c r="Q36" s="835"/>
      <c r="R36" s="825"/>
    </row>
    <row r="37" spans="2:18" s="801" customFormat="1" hidden="1" x14ac:dyDescent="0.3">
      <c r="B37" s="820" t="s">
        <v>1198</v>
      </c>
      <c r="C37" s="819">
        <f>IF(C$35&gt;15,C$29-C$35,C$29-15)</f>
        <v>-15</v>
      </c>
      <c r="D37" s="819">
        <f t="shared" ref="D37:I37" si="8">IF(D$35&gt;15,D$29-D$35,D$29-15)</f>
        <v>-15</v>
      </c>
      <c r="E37" s="819">
        <f t="shared" si="8"/>
        <v>-15</v>
      </c>
      <c r="F37" s="819">
        <f t="shared" si="8"/>
        <v>-15</v>
      </c>
      <c r="G37" s="819">
        <f t="shared" si="8"/>
        <v>-15</v>
      </c>
      <c r="H37" s="819">
        <f t="shared" si="8"/>
        <v>-15</v>
      </c>
      <c r="I37" s="819">
        <f t="shared" si="8"/>
        <v>-15</v>
      </c>
      <c r="J37" s="768"/>
      <c r="L37" s="833"/>
      <c r="M37" s="834"/>
      <c r="N37" s="834"/>
      <c r="O37" s="834"/>
      <c r="P37" s="834"/>
      <c r="Q37" s="835"/>
      <c r="R37" s="825"/>
    </row>
    <row r="38" spans="2:18" s="801" customFormat="1" ht="16.2" thickBot="1" x14ac:dyDescent="0.35">
      <c r="B38" s="818" t="s">
        <v>1199</v>
      </c>
      <c r="C38" s="821" t="str">
        <f>IF(OR(C$34=0,C$34=""),"",
IF(AND(C$34&gt;=C$37,C$34&lt;=C$36),"PASS","FAIL"))</f>
        <v/>
      </c>
      <c r="D38" s="821" t="str">
        <f t="shared" ref="D38:J38" si="9">IF(OR(D$34=0,D$34=""),"",
IF(AND(D$34&gt;=D$37,D$34&lt;=D$36),"PASS","FAIL"))</f>
        <v/>
      </c>
      <c r="E38" s="821" t="str">
        <f t="shared" si="9"/>
        <v/>
      </c>
      <c r="F38" s="821" t="str">
        <f t="shared" si="9"/>
        <v/>
      </c>
      <c r="G38" s="821" t="str">
        <f t="shared" si="9"/>
        <v/>
      </c>
      <c r="H38" s="821" t="str">
        <f t="shared" si="9"/>
        <v/>
      </c>
      <c r="I38" s="821" t="str">
        <f t="shared" si="9"/>
        <v/>
      </c>
      <c r="J38" s="821" t="str">
        <f t="shared" si="9"/>
        <v/>
      </c>
      <c r="L38" s="822"/>
      <c r="M38" s="823"/>
      <c r="N38" s="823"/>
      <c r="O38" s="823"/>
      <c r="P38" s="823"/>
      <c r="Q38" s="824"/>
      <c r="R38" s="825"/>
    </row>
    <row r="39" spans="2:18" ht="5.25" customHeight="1" x14ac:dyDescent="0.3">
      <c r="B39" s="826"/>
      <c r="C39" s="809"/>
      <c r="D39" s="809"/>
      <c r="E39" s="809"/>
      <c r="F39" s="809"/>
      <c r="G39" s="809"/>
      <c r="H39" s="809"/>
      <c r="I39" s="809"/>
      <c r="L39" s="798"/>
      <c r="M39" s="798"/>
      <c r="N39" s="798"/>
      <c r="O39" s="798"/>
      <c r="P39" s="798"/>
      <c r="Q39" s="798"/>
      <c r="R39" s="798"/>
    </row>
    <row r="40" spans="2:18" ht="5.25" customHeight="1" thickBot="1" x14ac:dyDescent="0.35">
      <c r="B40" s="826"/>
      <c r="C40" s="809"/>
      <c r="D40" s="809"/>
      <c r="E40" s="809"/>
      <c r="F40" s="809"/>
      <c r="G40" s="809"/>
      <c r="H40" s="809"/>
      <c r="I40" s="809"/>
      <c r="J40" s="809"/>
      <c r="L40" s="798"/>
      <c r="M40" s="798"/>
      <c r="N40" s="798"/>
      <c r="O40" s="798"/>
      <c r="P40" s="798"/>
      <c r="Q40" s="798"/>
      <c r="R40" s="798"/>
    </row>
    <row r="41" spans="2:18" ht="33" customHeight="1" thickBot="1" x14ac:dyDescent="0.35">
      <c r="B41" s="827" t="s">
        <v>1200</v>
      </c>
      <c r="C41" s="1799"/>
      <c r="D41" s="1800"/>
      <c r="E41" s="1800"/>
      <c r="F41" s="1800"/>
      <c r="G41" s="1800"/>
      <c r="H41" s="1800"/>
      <c r="I41" s="1800"/>
      <c r="J41" s="1801"/>
      <c r="L41" s="798"/>
      <c r="M41" s="798"/>
      <c r="N41" s="798"/>
      <c r="O41" s="798"/>
      <c r="P41" s="798"/>
      <c r="Q41" s="798"/>
      <c r="R41" s="798"/>
    </row>
  </sheetData>
  <sheetProtection algorithmName="SHA-512" hashValue="g1vXrodHfgYpV3AtKY8EDLchAot6ak0EPAmxEwTzyLqBS3UYS0vY9cOmZMVmul9ffWbHnbFRKWAxtg/Pib13Jw==" saltValue="5lR7n1VFduoMg1avMzFJBQ==" spinCount="100000" sheet="1" objects="1" scenarios="1" formatColumns="0" formatRows="0"/>
  <mergeCells count="5">
    <mergeCell ref="C2:J2"/>
    <mergeCell ref="L6:Q7"/>
    <mergeCell ref="C23:J23"/>
    <mergeCell ref="L28:Q29"/>
    <mergeCell ref="C41:J41"/>
  </mergeCells>
  <conditionalFormatting sqref="C20:ZZ38">
    <cfRule type="cellIs" dxfId="1372" priority="1" operator="equal">
      <formula>"PASS"</formula>
    </cfRule>
    <cfRule type="cellIs" dxfId="1371" priority="2" operator="equal">
      <formula>"FAIL"</formula>
    </cfRule>
  </conditionalFormatting>
  <pageMargins left="0.7" right="0.7" top="0.75" bottom="0.75" header="0.3" footer="0.3"/>
  <pageSetup fitToWidth="0" fitToHeight="0" orientation="portrait" horizontalDpi="4294967295" verticalDpi="4294967295"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2DF05-475D-C54D-AF71-D80F224C6D57}">
  <sheetPr codeName="Sheet5">
    <tabColor theme="7" tint="0.79998168889431442"/>
    <pageSetUpPr fitToPage="1"/>
  </sheetPr>
  <dimension ref="A1:Y33"/>
  <sheetViews>
    <sheetView zoomScaleNormal="100" workbookViewId="0">
      <selection activeCell="B2" sqref="B2"/>
    </sheetView>
  </sheetViews>
  <sheetFormatPr defaultColWidth="8.8984375" defaultRowHeight="15.6" x14ac:dyDescent="0.3"/>
  <cols>
    <col min="1" max="1" width="6.59765625" customWidth="1"/>
    <col min="2" max="2" width="13.5" customWidth="1"/>
    <col min="3" max="5" width="10.59765625" customWidth="1"/>
    <col min="6" max="6" width="10.59765625" hidden="1" customWidth="1"/>
    <col min="7" max="7" width="16" customWidth="1"/>
    <col min="8" max="8" width="14.5" bestFit="1" customWidth="1"/>
    <col min="9" max="9" width="15.59765625" customWidth="1"/>
    <col min="10" max="10" width="12.59765625" bestFit="1" customWidth="1"/>
    <col min="11" max="11" width="12.59765625" customWidth="1"/>
    <col min="12" max="12" width="10" customWidth="1"/>
    <col min="13" max="14" width="12.59765625" customWidth="1"/>
    <col min="15" max="15" width="40.59765625" customWidth="1"/>
    <col min="16" max="16" width="2.59765625" customWidth="1"/>
  </cols>
  <sheetData>
    <row r="1" spans="1:25" ht="16.2" thickBot="1" x14ac:dyDescent="0.35">
      <c r="B1" s="797"/>
      <c r="C1" s="797"/>
      <c r="D1" s="797"/>
      <c r="E1" s="797"/>
      <c r="F1" s="797"/>
      <c r="G1" s="797"/>
      <c r="H1" s="797"/>
      <c r="I1" s="797"/>
    </row>
    <row r="2" spans="1:25" ht="80.25" customHeight="1" thickBot="1" x14ac:dyDescent="0.35">
      <c r="A2" s="796"/>
      <c r="B2" s="599" t="s">
        <v>1062</v>
      </c>
      <c r="C2" s="1804" t="s">
        <v>1204</v>
      </c>
      <c r="D2" s="1804"/>
      <c r="E2" s="1804"/>
      <c r="F2" s="1804"/>
      <c r="G2" s="1804"/>
      <c r="H2" s="1804"/>
      <c r="I2" s="1804"/>
      <c r="J2" s="1804"/>
      <c r="K2" s="1804"/>
      <c r="L2" s="1804"/>
      <c r="M2" s="1804"/>
      <c r="N2" s="1804"/>
      <c r="O2" s="1805"/>
      <c r="Q2" s="798"/>
      <c r="R2" s="798"/>
      <c r="S2" s="798"/>
      <c r="T2" s="798"/>
      <c r="U2" s="798"/>
      <c r="V2" s="798"/>
      <c r="W2" s="798"/>
      <c r="X2" s="798"/>
      <c r="Y2" s="798"/>
    </row>
    <row r="3" spans="1:25" x14ac:dyDescent="0.3">
      <c r="A3" s="796"/>
      <c r="B3" s="797"/>
      <c r="C3" s="797"/>
      <c r="D3" s="797"/>
      <c r="E3" s="797"/>
      <c r="F3" s="797"/>
      <c r="G3" s="797"/>
      <c r="H3" s="797"/>
      <c r="I3" s="797"/>
      <c r="Q3" s="798"/>
      <c r="R3" s="798"/>
      <c r="S3" s="798"/>
      <c r="T3" s="798"/>
      <c r="U3" s="798"/>
      <c r="V3" s="798"/>
      <c r="W3" s="798"/>
      <c r="X3" s="798"/>
      <c r="Y3" s="798"/>
    </row>
    <row r="4" spans="1:25" x14ac:dyDescent="0.3">
      <c r="B4" s="691" t="s">
        <v>1205</v>
      </c>
      <c r="C4" s="597"/>
      <c r="D4" s="597"/>
      <c r="E4" s="597"/>
      <c r="F4" s="597"/>
      <c r="G4" s="597"/>
      <c r="H4" s="597"/>
      <c r="I4" s="597"/>
      <c r="J4" s="597"/>
      <c r="K4" s="597"/>
      <c r="L4" s="602"/>
      <c r="M4" s="602"/>
      <c r="N4" s="602"/>
      <c r="O4" s="602"/>
      <c r="Q4" s="798"/>
      <c r="R4" s="798"/>
      <c r="S4" s="798"/>
      <c r="T4" s="798"/>
      <c r="U4" s="798"/>
      <c r="V4" s="798"/>
      <c r="W4" s="798"/>
      <c r="X4" s="798"/>
      <c r="Y4" s="798"/>
    </row>
    <row r="5" spans="1:25" ht="16.2" thickBot="1" x14ac:dyDescent="0.35">
      <c r="B5" s="691"/>
      <c r="C5" s="597"/>
      <c r="D5" s="597"/>
      <c r="E5" s="597"/>
      <c r="F5" s="597"/>
      <c r="G5" s="597"/>
      <c r="H5" s="597"/>
      <c r="I5" s="597"/>
      <c r="J5" s="597"/>
      <c r="K5" s="597"/>
      <c r="L5" s="602"/>
      <c r="M5" s="602"/>
      <c r="N5" s="602"/>
      <c r="O5" s="602"/>
      <c r="Q5" s="798"/>
      <c r="R5" s="798"/>
      <c r="S5" s="798"/>
      <c r="T5" s="798"/>
      <c r="U5" s="798"/>
      <c r="V5" s="798"/>
      <c r="W5" s="798"/>
      <c r="X5" s="798"/>
      <c r="Y5" s="798"/>
    </row>
    <row r="6" spans="1:25" ht="119.25" customHeight="1" thickBot="1" x14ac:dyDescent="0.35">
      <c r="B6" s="837" t="s">
        <v>1062</v>
      </c>
      <c r="C6" s="1705" t="s">
        <v>1206</v>
      </c>
      <c r="D6" s="1705"/>
      <c r="E6" s="1705"/>
      <c r="F6" s="1705"/>
      <c r="G6" s="1705"/>
      <c r="H6" s="1705"/>
      <c r="I6" s="1705"/>
      <c r="J6" s="1705"/>
      <c r="K6" s="1705"/>
      <c r="L6" s="1705"/>
      <c r="M6" s="1705"/>
      <c r="N6" s="1705"/>
      <c r="O6" s="1706"/>
      <c r="P6" s="313"/>
      <c r="Q6" s="838"/>
      <c r="R6" s="838"/>
      <c r="S6" s="838"/>
      <c r="T6" s="838"/>
      <c r="U6" s="838"/>
      <c r="V6" s="838"/>
      <c r="W6" s="798"/>
      <c r="X6" s="798"/>
      <c r="Y6" s="798"/>
    </row>
    <row r="7" spans="1:25" ht="14.25" customHeight="1" thickBot="1" x14ac:dyDescent="0.35">
      <c r="B7" s="839"/>
      <c r="C7" s="839"/>
      <c r="D7" s="839"/>
      <c r="E7" s="839"/>
      <c r="F7" s="839"/>
      <c r="G7" s="839"/>
      <c r="H7" s="839"/>
      <c r="I7" s="839"/>
      <c r="J7" s="839"/>
      <c r="K7" s="839"/>
      <c r="L7" s="839"/>
      <c r="M7" s="839"/>
      <c r="N7" s="839"/>
      <c r="O7" s="839"/>
      <c r="Q7" s="838"/>
      <c r="R7" s="838"/>
      <c r="S7" s="838"/>
      <c r="T7" s="838"/>
      <c r="U7" s="838"/>
      <c r="V7" s="838"/>
      <c r="W7" s="798"/>
      <c r="X7" s="798"/>
      <c r="Y7" s="798"/>
    </row>
    <row r="8" spans="1:25" ht="40.200000000000003" thickBot="1" x14ac:dyDescent="0.35">
      <c r="B8" s="840" t="s">
        <v>1207</v>
      </c>
      <c r="C8" s="841" t="s">
        <v>1208</v>
      </c>
      <c r="D8" s="841" t="s">
        <v>1209</v>
      </c>
      <c r="E8" s="841" t="s">
        <v>1210</v>
      </c>
      <c r="F8" s="841" t="s">
        <v>1211</v>
      </c>
      <c r="G8" s="841" t="s">
        <v>1212</v>
      </c>
      <c r="H8" s="841" t="s">
        <v>1213</v>
      </c>
      <c r="I8" s="841" t="s">
        <v>1214</v>
      </c>
      <c r="J8" s="841" t="s">
        <v>1215</v>
      </c>
      <c r="K8" s="841" t="s">
        <v>1216</v>
      </c>
      <c r="L8" s="841" t="s">
        <v>1217</v>
      </c>
      <c r="M8" s="841" t="s">
        <v>1218</v>
      </c>
      <c r="N8" s="842" t="s">
        <v>1199</v>
      </c>
      <c r="O8" s="842" t="s">
        <v>538</v>
      </c>
      <c r="Q8" s="1806" t="s">
        <v>1158</v>
      </c>
      <c r="R8" s="1807"/>
      <c r="S8" s="1807"/>
      <c r="T8" s="1807"/>
      <c r="U8" s="1807"/>
      <c r="V8" s="1808"/>
      <c r="W8" s="798"/>
      <c r="X8" s="798"/>
      <c r="Y8" s="798"/>
    </row>
    <row r="9" spans="1:25" s="801" customFormat="1" ht="16.2" thickBot="1" x14ac:dyDescent="0.35">
      <c r="B9" s="843"/>
      <c r="C9" s="844"/>
      <c r="D9" s="844"/>
      <c r="E9" s="845"/>
      <c r="F9" s="845">
        <v>50</v>
      </c>
      <c r="G9" s="845"/>
      <c r="H9" s="846"/>
      <c r="I9" s="724"/>
      <c r="J9" s="847"/>
      <c r="K9" s="848" t="str">
        <f t="shared" ref="K9:K19" si="0">IFERROR($I9/$E9,"")</f>
        <v/>
      </c>
      <c r="L9" s="849" t="str">
        <f>IF($C9="","",
IF(Table3b[[#This Row],[Testing Pressure]]=50, IF(($C9*$D9*1.33)&lt;$E9,((0.25*1.33*$C9*$D9)/(POWER(Table3b[[#This Row],[Design/Operating Pressure]],0.65)/POWER(50,0.65))),(0.25*$E9)/(POWER(Table3b[[#This Row],[Design/Operating Pressure]],0.65)/POWER(50,0.65))
), IF(($C9*$D9*1.33)&lt;$E9,(0.25*1.33*$C9*$D9),(0.25*$E9))))</f>
        <v/>
      </c>
      <c r="M9" s="850" t="str">
        <f>IF($C9="","",
IF(Table3b[[#This Row],[Testing Pressure]]=50, IF(($C9*$D9*1.43)&lt;$E9,((0.3*1.43*$C9*$D9)/(POWER(Table3b[[#This Row],[Design/Operating Pressure]],0.65)/POWER(50,0.65))),(0.3*$E9)/(POWER(Table3b[[#This Row],[Design/Operating Pressure]],0.65)/POWER(50,0.65))
), IF(($C9*$D9*1.43)&lt;$E9,(0.3*1.43*$C9*$D9),(0.3*$E9))))</f>
        <v/>
      </c>
      <c r="N9" s="725"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9" s="851"/>
      <c r="Q9" s="1809"/>
      <c r="R9" s="1810"/>
      <c r="S9" s="1810"/>
      <c r="T9" s="1810"/>
      <c r="U9" s="1810"/>
      <c r="V9" s="1811"/>
      <c r="W9" s="825"/>
      <c r="X9" s="825"/>
      <c r="Y9" s="825"/>
    </row>
    <row r="10" spans="1:25" s="801" customFormat="1" x14ac:dyDescent="0.3">
      <c r="B10" s="852"/>
      <c r="C10" s="853"/>
      <c r="D10" s="853"/>
      <c r="E10" s="854"/>
      <c r="F10" s="854">
        <v>50</v>
      </c>
      <c r="G10" s="854"/>
      <c r="H10" s="855"/>
      <c r="I10" s="767"/>
      <c r="J10" s="856"/>
      <c r="K10" s="848" t="str">
        <f t="shared" si="0"/>
        <v/>
      </c>
      <c r="L10" s="849" t="str">
        <f>IF($C10="","",
IF(Table3b[[#This Row],[Testing Pressure]]=50, IF(($C10*$D10*1.33)&lt;$E10,((0.25*1.33*$C10*$D10)/(POWER(Table3b[[#This Row],[Design/Operating Pressure]],0.65)/POWER(50,0.65))),(0.25*$E10)/(POWER(Table3b[[#This Row],[Design/Operating Pressure]],0.65)/POWER(50,0.65))
), IF(($C10*$D10*1.33)&lt;$E10,(0.25*1.33*$C10*$D10),(0.25*$E10))))</f>
        <v/>
      </c>
      <c r="M10" s="850" t="str">
        <f>IF($C10="","",
IF(Table3b[[#This Row],[Testing Pressure]]=50, IF(($C10*$D10*1.43)&lt;$E10,((0.3*1.43*$C10*$D10)/(POWER(Table3b[[#This Row],[Design/Operating Pressure]],0.65)/POWER(50,0.65))),(0.3*$E10)/(POWER(Table3b[[#This Row],[Design/Operating Pressure]],0.65)/POWER(50,0.65))
), IF(($C10*$D10*1.43)&lt;$E10,(0.3*1.43*$C10*$D10),(0.3*$E10))))</f>
        <v/>
      </c>
      <c r="N10"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0" s="857"/>
      <c r="Q10" s="833"/>
      <c r="R10" s="834"/>
      <c r="S10" s="834"/>
      <c r="T10" s="834"/>
      <c r="U10" s="834"/>
      <c r="V10" s="835"/>
      <c r="W10" s="825"/>
      <c r="X10" s="825"/>
      <c r="Y10" s="825"/>
    </row>
    <row r="11" spans="1:25" s="801" customFormat="1" x14ac:dyDescent="0.3">
      <c r="B11" s="843"/>
      <c r="C11" s="853"/>
      <c r="D11" s="853"/>
      <c r="E11" s="854"/>
      <c r="F11" s="845">
        <v>50</v>
      </c>
      <c r="G11" s="854"/>
      <c r="H11" s="855"/>
      <c r="I11" s="767"/>
      <c r="J11" s="856"/>
      <c r="K11" s="848" t="str">
        <f t="shared" si="0"/>
        <v/>
      </c>
      <c r="L11" s="849" t="str">
        <f>IF($C11="","",
IF(Table3b[[#This Row],[Testing Pressure]]=50, IF(($C11*$D11*1.33)&lt;$E11,((0.25*1.33*$C11*$D11)/(POWER(Table3b[[#This Row],[Design/Operating Pressure]],0.65)/POWER(50,0.65))),(0.25*$E11)/(POWER(Table3b[[#This Row],[Design/Operating Pressure]],0.65)/POWER(50,0.65))
), IF(($C11*$D11*1.33)&lt;$E11,(0.25*1.33*$C11*$D11),(0.25*$E11))))</f>
        <v/>
      </c>
      <c r="M11" s="850" t="str">
        <f>IF($C11="","",
IF(Table3b[[#This Row],[Testing Pressure]]=50, IF(($C11*$D11*1.43)&lt;$E11,((0.3*1.43*$C11*$D11)/(POWER(Table3b[[#This Row],[Design/Operating Pressure]],0.65)/POWER(50,0.65))),(0.3*$E11)/(POWER(Table3b[[#This Row],[Design/Operating Pressure]],0.65)/POWER(50,0.65))
), IF(($C11*$D11*1.43)&lt;$E11,(0.3*1.43*$C11*$D11),(0.3*$E11))))</f>
        <v/>
      </c>
      <c r="N11"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1" s="857"/>
      <c r="Q11" s="833"/>
      <c r="R11" s="834"/>
      <c r="S11" s="834"/>
      <c r="T11" s="834"/>
      <c r="U11" s="834"/>
      <c r="V11" s="835"/>
      <c r="W11" s="825"/>
      <c r="X11" s="825"/>
      <c r="Y11" s="825"/>
    </row>
    <row r="12" spans="1:25" s="801" customFormat="1" x14ac:dyDescent="0.3">
      <c r="B12" s="852"/>
      <c r="C12" s="853"/>
      <c r="D12" s="853"/>
      <c r="E12" s="854"/>
      <c r="F12" s="854">
        <v>50</v>
      </c>
      <c r="G12" s="854"/>
      <c r="H12" s="855"/>
      <c r="I12" s="767"/>
      <c r="J12" s="856"/>
      <c r="K12" s="848" t="str">
        <f t="shared" si="0"/>
        <v/>
      </c>
      <c r="L12" s="849" t="str">
        <f>IF($C12="","",
IF(Table3b[[#This Row],[Testing Pressure]]=50, IF(($C12*$D12*1.33)&lt;$E12,((0.25*1.33*$C12*$D12)/(POWER(Table3b[[#This Row],[Design/Operating Pressure]],0.65)/POWER(50,0.65))),(0.25*$E12)/(POWER(Table3b[[#This Row],[Design/Operating Pressure]],0.65)/POWER(50,0.65))
), IF(($C12*$D12*1.33)&lt;$E12,(0.25*1.33*$C12*$D12),(0.25*$E12))))</f>
        <v/>
      </c>
      <c r="M12" s="850" t="str">
        <f>IF($C12="","",
IF(Table3b[[#This Row],[Testing Pressure]]=50, IF(($C12*$D12*1.43)&lt;$E12,((0.3*1.43*$C12*$D12)/(POWER(Table3b[[#This Row],[Design/Operating Pressure]],0.65)/POWER(50,0.65))),(0.3*$E12)/(POWER(Table3b[[#This Row],[Design/Operating Pressure]],0.65)/POWER(50,0.65))
), IF(($C12*$D12*1.43)&lt;$E12,(0.3*1.43*$C12*$D12),(0.3*$E12))))</f>
        <v/>
      </c>
      <c r="N12"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2" s="857"/>
      <c r="Q12" s="833"/>
      <c r="R12" s="834"/>
      <c r="S12" s="834"/>
      <c r="T12" s="834"/>
      <c r="U12" s="834"/>
      <c r="V12" s="835"/>
      <c r="W12" s="825"/>
      <c r="X12" s="825"/>
      <c r="Y12" s="825"/>
    </row>
    <row r="13" spans="1:25" s="801" customFormat="1" x14ac:dyDescent="0.3">
      <c r="B13" s="852"/>
      <c r="C13" s="853"/>
      <c r="D13" s="853"/>
      <c r="E13" s="854"/>
      <c r="F13" s="845">
        <v>50</v>
      </c>
      <c r="G13" s="854"/>
      <c r="H13" s="855"/>
      <c r="I13" s="767"/>
      <c r="J13" s="856"/>
      <c r="K13" s="848" t="str">
        <f t="shared" si="0"/>
        <v/>
      </c>
      <c r="L13" s="849" t="str">
        <f>IF($C13="","",
IF(Table3b[[#This Row],[Testing Pressure]]=50, IF(($C13*$D13*1.33)&lt;$E13,((0.25*1.33*$C13*$D13)/(POWER(Table3b[[#This Row],[Design/Operating Pressure]],0.65)/POWER(50,0.65))),(0.25*$E13)/(POWER(Table3b[[#This Row],[Design/Operating Pressure]],0.65)/POWER(50,0.65))
), IF(($C13*$D13*1.33)&lt;$E13,(0.25*1.33*$C13*$D13),(0.25*$E13))))</f>
        <v/>
      </c>
      <c r="M13" s="850" t="str">
        <f>IF($C13="","",
IF(Table3b[[#This Row],[Testing Pressure]]=50, IF(($C13*$D13*1.43)&lt;$E13,((0.3*1.43*$C13*$D13)/(POWER(Table3b[[#This Row],[Design/Operating Pressure]],0.65)/POWER(50,0.65))),(0.3*$E13)/(POWER(Table3b[[#This Row],[Design/Operating Pressure]],0.65)/POWER(50,0.65))
), IF(($C13*$D13*1.43)&lt;$E13,(0.3*1.43*$C13*$D13),(0.3*$E13))))</f>
        <v/>
      </c>
      <c r="N13"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3" s="857"/>
      <c r="Q13" s="833"/>
      <c r="R13" s="834"/>
      <c r="S13" s="834"/>
      <c r="T13" s="834"/>
      <c r="U13" s="834"/>
      <c r="V13" s="835"/>
      <c r="W13" s="825"/>
      <c r="X13" s="825"/>
      <c r="Y13" s="825"/>
    </row>
    <row r="14" spans="1:25" s="801" customFormat="1" x14ac:dyDescent="0.3">
      <c r="B14" s="852"/>
      <c r="C14" s="853"/>
      <c r="D14" s="853"/>
      <c r="E14" s="854"/>
      <c r="F14" s="854"/>
      <c r="G14" s="854"/>
      <c r="H14" s="855"/>
      <c r="I14" s="767"/>
      <c r="J14" s="856"/>
      <c r="K14" s="858" t="str">
        <f>IFERROR($I14/$E14,"")</f>
        <v/>
      </c>
      <c r="L14" s="849" t="str">
        <f>IF($C14="","",
IF(Table3b[[#This Row],[Testing Pressure]]=50, IF(($C14*$D14*1.33)&lt;$E14,((0.25*1.33*$C14*$D14)/(POWER(Table3b[[#This Row],[Design/Operating Pressure]],0.65)/POWER(50,0.65))),(0.25*$E14)/(POWER(Table3b[[#This Row],[Design/Operating Pressure]],0.65)/POWER(50,0.65))
), IF(($C14*$D14*1.33)&lt;$E14,(0.25*1.33*$C14*$D14),(0.25*$E14))))</f>
        <v/>
      </c>
      <c r="M14" s="850" t="str">
        <f>IF($C14="","",
IF(Table3b[[#This Row],[Testing Pressure]]=50, IF(($C14*$D14*1.43)&lt;$E14,((0.3*1.43*$C14*$D14)/(POWER(Table3b[[#This Row],[Design/Operating Pressure]],0.65)/POWER(50,0.65))),(0.3*$E14)/(POWER(Table3b[[#This Row],[Design/Operating Pressure]],0.65)/POWER(50,0.65))
), IF(($C14*$D14*1.43)&lt;$E14,(0.3*1.43*$C14*$D14),(0.3*$E14))))</f>
        <v/>
      </c>
      <c r="N14"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4" s="857"/>
      <c r="Q14" s="833"/>
      <c r="R14" s="834"/>
      <c r="S14" s="834"/>
      <c r="T14" s="834"/>
      <c r="U14" s="834"/>
      <c r="V14" s="835"/>
      <c r="W14" s="825"/>
      <c r="X14" s="825"/>
      <c r="Y14" s="825"/>
    </row>
    <row r="15" spans="1:25" s="801" customFormat="1" x14ac:dyDescent="0.3">
      <c r="B15" s="852"/>
      <c r="C15" s="853"/>
      <c r="D15" s="853"/>
      <c r="E15" s="854"/>
      <c r="F15" s="854">
        <v>50</v>
      </c>
      <c r="G15" s="854"/>
      <c r="H15" s="855"/>
      <c r="I15" s="767"/>
      <c r="J15" s="856"/>
      <c r="K15" s="848" t="str">
        <f t="shared" si="0"/>
        <v/>
      </c>
      <c r="L15" s="849" t="str">
        <f>IF($C15="","",
IF(Table3b[[#This Row],[Testing Pressure]]=50, IF(($C15*$D15*1.33)&lt;$E15,((0.25*1.33*$C15*$D15)/(POWER(Table3b[[#This Row],[Design/Operating Pressure]],0.65)/POWER(50,0.65))),(0.25*$E15)/(POWER(Table3b[[#This Row],[Design/Operating Pressure]],0.65)/POWER(50,0.65))
), IF(($C15*$D15*1.33)&lt;$E15,(0.25*1.33*$C15*$D15),(0.25*$E15))))</f>
        <v/>
      </c>
      <c r="M15" s="850" t="str">
        <f>IF($C15="","",
IF(Table3b[[#This Row],[Testing Pressure]]=50, IF(($C15*$D15*1.43)&lt;$E15,((0.3*1.43*$C15*$D15)/(POWER(Table3b[[#This Row],[Design/Operating Pressure]],0.65)/POWER(50,0.65))),(0.3*$E15)/(POWER(Table3b[[#This Row],[Design/Operating Pressure]],0.65)/POWER(50,0.65))
), IF(($C15*$D15*1.43)&lt;$E15,(0.3*1.43*$C15*$D15),(0.3*$E15))))</f>
        <v/>
      </c>
      <c r="N15"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5" s="857"/>
      <c r="Q15" s="833"/>
      <c r="R15" s="834"/>
      <c r="S15" s="834"/>
      <c r="T15" s="834"/>
      <c r="U15" s="834"/>
      <c r="V15" s="835"/>
      <c r="W15" s="825"/>
      <c r="X15" s="825"/>
      <c r="Y15" s="825"/>
    </row>
    <row r="16" spans="1:25" s="801" customFormat="1" x14ac:dyDescent="0.3">
      <c r="B16" s="852"/>
      <c r="C16" s="853"/>
      <c r="D16" s="853"/>
      <c r="E16" s="854"/>
      <c r="F16" s="845">
        <v>50</v>
      </c>
      <c r="G16" s="854"/>
      <c r="H16" s="855"/>
      <c r="I16" s="767"/>
      <c r="J16" s="856"/>
      <c r="K16" s="848" t="str">
        <f t="shared" si="0"/>
        <v/>
      </c>
      <c r="L16" s="849" t="str">
        <f>IF($C16="","",
IF(Table3b[[#This Row],[Testing Pressure]]=50, IF(($C16*$D16*1.33)&lt;$E16,((0.25*1.33*$C16*$D16)/(POWER(Table3b[[#This Row],[Design/Operating Pressure]],0.65)/POWER(50,0.65))),(0.25*$E16)/(POWER(Table3b[[#This Row],[Design/Operating Pressure]],0.65)/POWER(50,0.65))
), IF(($C16*$D16*1.33)&lt;$E16,(0.25*1.33*$C16*$D16),(0.25*$E16))))</f>
        <v/>
      </c>
      <c r="M16" s="850" t="str">
        <f>IF($C16="","",
IF(Table3b[[#This Row],[Testing Pressure]]=50, IF(($C16*$D16*1.43)&lt;$E16,((0.3*1.43*$C16*$D16)/(POWER(Table3b[[#This Row],[Design/Operating Pressure]],0.65)/POWER(50,0.65))),(0.3*$E16)/(POWER(Table3b[[#This Row],[Design/Operating Pressure]],0.65)/POWER(50,0.65))
), IF(($C16*$D16*1.43)&lt;$E16,(0.3*1.43*$C16*$D16),(0.3*$E16))))</f>
        <v/>
      </c>
      <c r="N16"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6" s="857"/>
      <c r="Q16" s="833"/>
      <c r="R16" s="834"/>
      <c r="S16" s="834"/>
      <c r="T16" s="834"/>
      <c r="U16" s="834"/>
      <c r="V16" s="835"/>
      <c r="W16" s="825"/>
      <c r="X16" s="825"/>
      <c r="Y16" s="825"/>
    </row>
    <row r="17" spans="2:25" s="801" customFormat="1" x14ac:dyDescent="0.3">
      <c r="B17" s="852"/>
      <c r="C17" s="853"/>
      <c r="D17" s="853"/>
      <c r="E17" s="854"/>
      <c r="F17" s="854"/>
      <c r="G17" s="854"/>
      <c r="H17" s="855"/>
      <c r="I17" s="767"/>
      <c r="J17" s="856"/>
      <c r="K17" s="858" t="str">
        <f>IFERROR($I17/$E17,"")</f>
        <v/>
      </c>
      <c r="L17" s="849" t="str">
        <f>IF($C17="","",
IF(Table3b[[#This Row],[Testing Pressure]]=50, IF(($C17*$D17*1.33)&lt;$E17,((0.25*1.33*$C17*$D17)/(POWER(Table3b[[#This Row],[Design/Operating Pressure]],0.65)/POWER(50,0.65))),(0.25*$E17)/(POWER(Table3b[[#This Row],[Design/Operating Pressure]],0.65)/POWER(50,0.65))
), IF(($C17*$D17*1.33)&lt;$E17,(0.25*1.33*$C17*$D17),(0.25*$E17))))</f>
        <v/>
      </c>
      <c r="M17" s="850" t="str">
        <f>IF($C17="","",
IF(Table3b[[#This Row],[Testing Pressure]]=50, IF(($C17*$D17*1.43)&lt;$E17,((0.3*1.43*$C17*$D17)/(POWER(Table3b[[#This Row],[Design/Operating Pressure]],0.65)/POWER(50,0.65))),(0.3*$E17)/(POWER(Table3b[[#This Row],[Design/Operating Pressure]],0.65)/POWER(50,0.65))
), IF(($C17*$D17*1.43)&lt;$E17,(0.3*1.43*$C17*$D17),(0.3*$E17))))</f>
        <v/>
      </c>
      <c r="N17"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7" s="857"/>
      <c r="Q17" s="833"/>
      <c r="R17" s="834"/>
      <c r="S17" s="834"/>
      <c r="T17" s="834"/>
      <c r="U17" s="834"/>
      <c r="V17" s="835"/>
      <c r="W17" s="825"/>
      <c r="X17" s="825"/>
      <c r="Y17" s="825"/>
    </row>
    <row r="18" spans="2:25" s="801" customFormat="1" ht="16.2" thickBot="1" x14ac:dyDescent="0.35">
      <c r="B18" s="852"/>
      <c r="C18" s="853"/>
      <c r="D18" s="853"/>
      <c r="E18" s="854"/>
      <c r="F18" s="854"/>
      <c r="G18" s="854"/>
      <c r="H18" s="855"/>
      <c r="I18" s="767"/>
      <c r="J18" s="856"/>
      <c r="K18" s="858" t="str">
        <f>IFERROR($I18/$E18,"")</f>
        <v/>
      </c>
      <c r="L18" s="849" t="str">
        <f>IF($C18="","",
IF(Table3b[[#This Row],[Testing Pressure]]=50, IF(($C18*$D18*1.33)&lt;$E18,((0.25*1.33*$C18*$D18)/(POWER(Table3b[[#This Row],[Design/Operating Pressure]],0.65)/POWER(50,0.65))),(0.25*$E18)/(POWER(Table3b[[#This Row],[Design/Operating Pressure]],0.65)/POWER(50,0.65))
), IF(($C18*$D18*1.33)&lt;$E18,(0.25*1.33*$C18*$D18),(0.25*$E18))))</f>
        <v/>
      </c>
      <c r="M18" s="850" t="str">
        <f>IF($C18="","",
IF(Table3b[[#This Row],[Testing Pressure]]=50, IF(($C18*$D18*1.43)&lt;$E18,((0.3*1.43*$C18*$D18)/(POWER(Table3b[[#This Row],[Design/Operating Pressure]],0.65)/POWER(50,0.65))),(0.3*$E18)/(POWER(Table3b[[#This Row],[Design/Operating Pressure]],0.65)/POWER(50,0.65))
), IF(($C18*$D18*1.43)&lt;$E18,(0.3*1.43*$C18*$D18),(0.3*$E18))))</f>
        <v/>
      </c>
      <c r="N18" s="768"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8" s="857"/>
      <c r="Q18" s="822"/>
      <c r="R18" s="823"/>
      <c r="S18" s="823"/>
      <c r="T18" s="823"/>
      <c r="U18" s="823"/>
      <c r="V18" s="824"/>
      <c r="W18" s="825"/>
      <c r="X18" s="825"/>
      <c r="Y18" s="825"/>
    </row>
    <row r="19" spans="2:25" x14ac:dyDescent="0.3">
      <c r="B19" s="859"/>
      <c r="C19" s="860"/>
      <c r="D19" s="860"/>
      <c r="E19" s="861"/>
      <c r="F19" s="845">
        <v>50</v>
      </c>
      <c r="G19" s="861"/>
      <c r="H19" s="862"/>
      <c r="I19" s="789"/>
      <c r="J19" s="863"/>
      <c r="K19" s="848" t="str">
        <f t="shared" si="0"/>
        <v/>
      </c>
      <c r="L19" s="849" t="str">
        <f>IF($C19="","",
IF(Table3b[[#This Row],[Testing Pressure]]=50, IF(($C19*$D19*1.33)&lt;$E19,((0.25*1.33*$C19*$D19)/(POWER(Table3b[[#This Row],[Design/Operating Pressure]],0.65)/POWER(50,0.65))),(0.25*$E19)/(POWER(Table3b[[#This Row],[Design/Operating Pressure]],0.65)/POWER(50,0.65))
), IF(($C19*$D19*1.33)&lt;$E19,(0.25*1.33*$C19*$D19),(0.25*$E19))))</f>
        <v/>
      </c>
      <c r="M19" s="850" t="str">
        <f>IF($C19="","",
IF(Table3b[[#This Row],[Testing Pressure]]=50, IF(($C19*$D19*1.43)&lt;$E19,((0.3*1.43*$C19*$D19)/(POWER(Table3b[[#This Row],[Design/Operating Pressure]],0.65)/POWER(50,0.65))),(0.3*$E19)/(POWER(Table3b[[#This Row],[Design/Operating Pressure]],0.65)/POWER(50,0.65))
), IF(($C19*$D19*1.43)&lt;$E19,(0.3*1.43*$C19*$D19),(0.3*$E19))))</f>
        <v/>
      </c>
      <c r="N19" s="790" t="str">
        <f>IF(AND(Table3b[[#This Row],[Test at Final or Rough-in]]="Final",Table3b[[#This Row],[CFM Leakage from Single-Point Test]]&lt;Table3b[[#This Row],[Final MAX CFM]]),"PASS",
IF(AND(Table3b[[#This Row],[Test at Final or Rough-in]]="Rough-In",Table3b[[#This Row],[CFM Leakage from Single-Point Test]]&lt;Table3b[[#This Row],[Rough-in MAX CFM]]),"PASS",
IF(Table3b[[#This Row],[Test at Final or Rough-in]]="","","FAIL")))</f>
        <v/>
      </c>
      <c r="O19" s="864"/>
      <c r="Q19" s="798"/>
      <c r="R19" s="798"/>
      <c r="S19" s="798"/>
      <c r="T19" s="798"/>
      <c r="U19" s="798"/>
      <c r="V19" s="798"/>
      <c r="W19" s="798"/>
      <c r="X19" s="798"/>
      <c r="Y19" s="798"/>
    </row>
    <row r="20" spans="2:25" ht="30" customHeight="1" x14ac:dyDescent="0.3">
      <c r="B20" s="865"/>
      <c r="C20" s="866"/>
      <c r="D20" s="866"/>
      <c r="E20" s="867"/>
      <c r="F20" s="867"/>
      <c r="G20" s="867"/>
      <c r="H20" s="867"/>
      <c r="I20" s="868"/>
      <c r="J20" s="868"/>
      <c r="K20" s="869"/>
      <c r="L20" s="870"/>
      <c r="M20" s="870"/>
      <c r="N20" s="870"/>
      <c r="O20" s="871"/>
      <c r="Q20" s="798"/>
      <c r="R20" s="798"/>
      <c r="S20" s="798"/>
      <c r="T20" s="798"/>
      <c r="U20" s="798"/>
      <c r="V20" s="798"/>
      <c r="W20" s="798"/>
      <c r="X20" s="798"/>
      <c r="Y20" s="798"/>
    </row>
    <row r="21" spans="2:25" ht="16.2" thickBot="1" x14ac:dyDescent="0.35">
      <c r="B21" s="865"/>
      <c r="C21" s="866"/>
      <c r="D21" s="866"/>
      <c r="E21" s="867"/>
      <c r="F21" s="867"/>
      <c r="G21" s="867"/>
      <c r="H21" s="867"/>
      <c r="I21" s="868"/>
      <c r="J21" s="868"/>
      <c r="K21" s="869"/>
      <c r="L21" s="870"/>
      <c r="M21" s="870"/>
      <c r="N21" s="870"/>
      <c r="O21" s="871"/>
      <c r="Q21" s="798"/>
      <c r="R21" s="798"/>
      <c r="S21" s="798"/>
      <c r="T21" s="798"/>
      <c r="U21" s="798"/>
      <c r="V21" s="798"/>
      <c r="W21" s="798"/>
      <c r="X21" s="798"/>
      <c r="Y21" s="798"/>
    </row>
    <row r="22" spans="2:25" ht="16.2" thickBot="1" x14ac:dyDescent="0.35">
      <c r="B22" s="1812" t="s">
        <v>1200</v>
      </c>
      <c r="C22" s="1812"/>
      <c r="D22" s="1799"/>
      <c r="E22" s="1800"/>
      <c r="F22" s="1800"/>
      <c r="G22" s="1800"/>
      <c r="H22" s="1800"/>
      <c r="I22" s="1800"/>
      <c r="J22" s="1800"/>
      <c r="K22" s="1800"/>
      <c r="L22" s="1800"/>
      <c r="M22" s="1800"/>
      <c r="N22" s="1800"/>
      <c r="O22" s="1801"/>
      <c r="Q22" s="798"/>
      <c r="R22" s="798"/>
      <c r="S22" s="798"/>
      <c r="T22" s="798"/>
      <c r="U22" s="798"/>
      <c r="V22" s="798"/>
      <c r="W22" s="798"/>
      <c r="X22" s="798"/>
      <c r="Y22" s="798"/>
    </row>
    <row r="23" spans="2:25" ht="16.2" thickBot="1" x14ac:dyDescent="0.35">
      <c r="B23" s="872"/>
      <c r="C23" s="872"/>
      <c r="D23" s="873"/>
      <c r="E23" s="873"/>
      <c r="F23" s="873"/>
      <c r="G23" s="873"/>
      <c r="H23" s="873"/>
      <c r="I23" s="873"/>
      <c r="J23" s="873"/>
      <c r="K23" s="873"/>
      <c r="L23" s="873"/>
      <c r="M23" s="873"/>
      <c r="N23" s="873"/>
      <c r="O23" s="873"/>
      <c r="Q23" s="798"/>
      <c r="R23" s="798"/>
      <c r="S23" s="798"/>
      <c r="T23" s="798"/>
      <c r="U23" s="798"/>
      <c r="V23" s="798"/>
      <c r="W23" s="798"/>
      <c r="X23" s="798"/>
      <c r="Y23" s="798"/>
    </row>
    <row r="24" spans="2:25" ht="16.2" thickBot="1" x14ac:dyDescent="0.35">
      <c r="B24" s="1802" t="s">
        <v>1219</v>
      </c>
      <c r="C24" s="1803"/>
      <c r="D24" s="1799"/>
      <c r="E24" s="1801"/>
      <c r="F24" s="874"/>
      <c r="G24" s="875"/>
      <c r="H24" s="875"/>
      <c r="I24" s="876"/>
      <c r="J24" s="876"/>
      <c r="K24" s="876"/>
      <c r="L24" s="876"/>
      <c r="M24" s="876"/>
      <c r="N24" s="876"/>
      <c r="O24" s="876"/>
      <c r="Q24" s="798"/>
      <c r="R24" s="798"/>
      <c r="S24" s="798"/>
      <c r="T24" s="798"/>
      <c r="U24" s="798"/>
      <c r="V24" s="798"/>
      <c r="W24" s="798"/>
      <c r="X24" s="798"/>
      <c r="Y24" s="798"/>
    </row>
    <row r="25" spans="2:25" x14ac:dyDescent="0.3">
      <c r="Q25" s="798"/>
      <c r="R25" s="798"/>
      <c r="S25" s="798"/>
      <c r="T25" s="798"/>
      <c r="U25" s="798"/>
      <c r="V25" s="798"/>
      <c r="W25" s="798"/>
      <c r="X25" s="798"/>
      <c r="Y25" s="798"/>
    </row>
    <row r="27" spans="2:25" x14ac:dyDescent="0.3">
      <c r="K27" s="796"/>
    </row>
    <row r="31" spans="2:25" x14ac:dyDescent="0.3">
      <c r="D31" s="796"/>
      <c r="E31" s="796"/>
      <c r="F31" s="796"/>
      <c r="G31" s="796"/>
      <c r="H31" s="796"/>
      <c r="I31" s="796"/>
    </row>
    <row r="32" spans="2:25" x14ac:dyDescent="0.3">
      <c r="I32" s="796"/>
    </row>
    <row r="33" spans="9:9" x14ac:dyDescent="0.3">
      <c r="I33" s="796"/>
    </row>
  </sheetData>
  <sheetProtection algorithmName="SHA-512" hashValue="UpgC0CmWYAg4q+T7o1X69XU9OdfbHBV7vUjUv/opMYdVFbEMDt+fNEvDnwdj3nCOe3vd3JsYeQ/Ht/yeR/117A==" saltValue="qU2xsvleygZrMKTVc+fbIw==" spinCount="100000" sheet="1" formatColumns="0" formatRows="0"/>
  <mergeCells count="7">
    <mergeCell ref="B24:C24"/>
    <mergeCell ref="D24:E24"/>
    <mergeCell ref="C2:O2"/>
    <mergeCell ref="C6:O6"/>
    <mergeCell ref="Q8:V9"/>
    <mergeCell ref="B22:C22"/>
    <mergeCell ref="D22:O22"/>
  </mergeCells>
  <conditionalFormatting sqref="N9:N19">
    <cfRule type="cellIs" dxfId="1324" priority="1" operator="equal">
      <formula>"PASS"</formula>
    </cfRule>
    <cfRule type="cellIs" dxfId="1323" priority="2" operator="equal">
      <formula>"FAIL"</formula>
    </cfRule>
  </conditionalFormatting>
  <dataValidations count="1">
    <dataValidation type="list" allowBlank="1" showInputMessage="1" showErrorMessage="1" sqref="H9:H19" xr:uid="{D49E8192-C03B-9D44-A9A9-78CDB53205E6}">
      <formula1>$F9:$G9</formula1>
    </dataValidation>
  </dataValidations>
  <pageMargins left="0.7" right="0.7" top="0.75" bottom="0.75" header="0.3" footer="0.3"/>
  <pageSetup scale="54" fitToHeight="0" orientation="landscape" horizontalDpi="4294967295" verticalDpi="4294967295"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0CAD-2DAA-D645-AB16-50E06F4372EB}">
  <sheetPr codeName="Sheet6">
    <tabColor theme="7" tint="0.79998168889431442"/>
    <pageSetUpPr fitToPage="1"/>
  </sheetPr>
  <dimension ref="A1:P20"/>
  <sheetViews>
    <sheetView zoomScaleNormal="100" workbookViewId="0">
      <selection activeCell="B2" sqref="B2"/>
    </sheetView>
  </sheetViews>
  <sheetFormatPr defaultColWidth="9.09765625" defaultRowHeight="13.2" x14ac:dyDescent="0.25"/>
  <cols>
    <col min="1" max="1" width="6.59765625" style="343" customWidth="1"/>
    <col min="2" max="2" width="13.3984375" style="343" customWidth="1"/>
    <col min="3" max="3" width="11.59765625" style="343" customWidth="1"/>
    <col min="4" max="4" width="10.8984375" style="343" customWidth="1"/>
    <col min="5" max="5" width="9.09765625" style="343"/>
    <col min="6" max="6" width="10.5" style="343" customWidth="1"/>
    <col min="7" max="7" width="8.5" style="343" customWidth="1"/>
    <col min="8" max="9" width="17.09765625" style="343" customWidth="1"/>
    <col min="10" max="10" width="13" style="343" customWidth="1"/>
    <col min="11" max="11" width="23.09765625" style="343" customWidth="1"/>
    <col min="12" max="12" width="2.59765625" style="343" customWidth="1"/>
    <col min="13" max="16384" width="9.09765625" style="343"/>
  </cols>
  <sheetData>
    <row r="1" spans="1:16" ht="13.8" thickBot="1" x14ac:dyDescent="0.3"/>
    <row r="2" spans="1:16" ht="81.599999999999994" customHeight="1" thickBot="1" x14ac:dyDescent="0.3">
      <c r="A2" s="601"/>
      <c r="B2" s="837" t="s">
        <v>1062</v>
      </c>
      <c r="C2" s="1804" t="s">
        <v>1220</v>
      </c>
      <c r="D2" s="1804"/>
      <c r="E2" s="1804"/>
      <c r="F2" s="1804"/>
      <c r="G2" s="1804"/>
      <c r="H2" s="1804"/>
      <c r="I2" s="1804"/>
      <c r="J2" s="1804"/>
      <c r="K2" s="1805"/>
      <c r="M2" s="708"/>
      <c r="N2" s="604"/>
      <c r="O2" s="604"/>
      <c r="P2" s="604"/>
    </row>
    <row r="3" spans="1:16" x14ac:dyDescent="0.25">
      <c r="A3" s="601"/>
      <c r="B3" s="877"/>
      <c r="C3" s="878"/>
      <c r="D3" s="878"/>
      <c r="E3" s="878"/>
      <c r="F3" s="878"/>
      <c r="G3" s="878"/>
      <c r="H3" s="878"/>
      <c r="I3" s="878"/>
      <c r="J3" s="878"/>
      <c r="K3" s="878"/>
      <c r="M3" s="708"/>
      <c r="N3" s="604"/>
      <c r="O3" s="604"/>
      <c r="P3" s="604"/>
    </row>
    <row r="4" spans="1:16" ht="13.8" thickBot="1" x14ac:dyDescent="0.3">
      <c r="A4" s="601"/>
      <c r="B4" s="349" t="s">
        <v>1221</v>
      </c>
      <c r="M4" s="604"/>
      <c r="N4" s="604"/>
      <c r="O4" s="604"/>
      <c r="P4" s="604"/>
    </row>
    <row r="5" spans="1:16" ht="28.5" customHeight="1" thickBot="1" x14ac:dyDescent="0.3">
      <c r="A5" s="601"/>
      <c r="B5" s="1813" t="s">
        <v>1222</v>
      </c>
      <c r="C5" s="1814"/>
      <c r="D5" s="1814"/>
      <c r="E5" s="1814"/>
      <c r="F5" s="1814"/>
      <c r="G5" s="1814"/>
      <c r="H5" s="1814"/>
      <c r="I5" s="1814"/>
      <c r="J5" s="1814"/>
      <c r="K5" s="1815"/>
      <c r="M5" s="604"/>
      <c r="N5" s="604"/>
      <c r="O5" s="604"/>
      <c r="P5" s="604"/>
    </row>
    <row r="6" spans="1:16" x14ac:dyDescent="0.25">
      <c r="A6" s="601"/>
      <c r="M6" s="604"/>
      <c r="N6" s="604"/>
      <c r="O6" s="604"/>
      <c r="P6" s="604"/>
    </row>
    <row r="7" spans="1:16" ht="13.8" thickBot="1" x14ac:dyDescent="0.3">
      <c r="A7" s="601"/>
      <c r="B7" s="349" t="s">
        <v>1223</v>
      </c>
      <c r="M7" s="604"/>
      <c r="N7" s="604"/>
      <c r="O7" s="604"/>
      <c r="P7" s="604"/>
    </row>
    <row r="8" spans="1:16" ht="27.75" customHeight="1" thickBot="1" x14ac:dyDescent="0.3">
      <c r="A8" s="601"/>
      <c r="B8" s="1813" t="s">
        <v>1224</v>
      </c>
      <c r="C8" s="1814"/>
      <c r="D8" s="1814"/>
      <c r="E8" s="1814"/>
      <c r="F8" s="1814"/>
      <c r="G8" s="1814"/>
      <c r="H8" s="1814"/>
      <c r="I8" s="1814"/>
      <c r="J8" s="1814"/>
      <c r="K8" s="1815"/>
      <c r="M8" s="1772" t="s">
        <v>1158</v>
      </c>
      <c r="N8" s="1773"/>
      <c r="O8" s="1774"/>
      <c r="P8" s="604"/>
    </row>
    <row r="9" spans="1:16" ht="13.8" thickBot="1" x14ac:dyDescent="0.3">
      <c r="A9" s="601"/>
      <c r="B9" s="879"/>
      <c r="C9" s="879"/>
      <c r="D9" s="879"/>
      <c r="E9" s="879"/>
      <c r="F9" s="879"/>
      <c r="G9" s="879"/>
      <c r="H9" s="879"/>
      <c r="I9" s="879"/>
      <c r="J9" s="879"/>
      <c r="M9" s="1775"/>
      <c r="N9" s="1776"/>
      <c r="O9" s="1777"/>
      <c r="P9" s="604"/>
    </row>
    <row r="10" spans="1:16" ht="41.4" customHeight="1" thickBot="1" x14ac:dyDescent="0.35">
      <c r="A10"/>
      <c r="B10" s="610" t="s">
        <v>1225</v>
      </c>
      <c r="C10" s="612" t="s">
        <v>1226</v>
      </c>
      <c r="D10" s="612" t="s">
        <v>1227</v>
      </c>
      <c r="E10" s="612" t="s">
        <v>1228</v>
      </c>
      <c r="F10" s="880" t="s">
        <v>1229</v>
      </c>
      <c r="G10" s="612" t="s">
        <v>1230</v>
      </c>
      <c r="H10" s="610" t="s">
        <v>1231</v>
      </c>
      <c r="I10" s="612" t="s">
        <v>1232</v>
      </c>
      <c r="J10" s="612" t="s">
        <v>1233</v>
      </c>
      <c r="K10" s="613" t="s">
        <v>1234</v>
      </c>
      <c r="M10" s="881"/>
      <c r="N10" s="882"/>
      <c r="O10" s="883"/>
      <c r="P10" s="604"/>
    </row>
    <row r="11" spans="1:16" s="614" customFormat="1" x14ac:dyDescent="0.3">
      <c r="B11" s="884"/>
      <c r="C11" s="885"/>
      <c r="D11" s="885"/>
      <c r="E11" s="886"/>
      <c r="F11" s="886"/>
      <c r="G11" s="887"/>
      <c r="H11" s="886"/>
      <c r="I11" s="888"/>
      <c r="J11" s="889"/>
      <c r="K11" s="890"/>
      <c r="M11" s="637"/>
      <c r="N11" s="638"/>
      <c r="O11" s="639"/>
      <c r="P11" s="640"/>
    </row>
    <row r="12" spans="1:16" s="614" customFormat="1" x14ac:dyDescent="0.3">
      <c r="B12" s="891"/>
      <c r="C12" s="892"/>
      <c r="D12" s="767"/>
      <c r="E12" s="886"/>
      <c r="F12" s="886"/>
      <c r="G12" s="893"/>
      <c r="H12" s="894"/>
      <c r="I12" s="895"/>
      <c r="J12" s="896"/>
      <c r="K12" s="897"/>
      <c r="M12" s="637"/>
      <c r="N12" s="638"/>
      <c r="O12" s="639"/>
      <c r="P12" s="640"/>
    </row>
    <row r="13" spans="1:16" s="614" customFormat="1" x14ac:dyDescent="0.3">
      <c r="B13" s="898"/>
      <c r="C13" s="892"/>
      <c r="D13" s="767"/>
      <c r="E13" s="886"/>
      <c r="F13" s="886"/>
      <c r="G13" s="893"/>
      <c r="H13" s="894"/>
      <c r="I13" s="895"/>
      <c r="J13" s="896"/>
      <c r="K13" s="897"/>
      <c r="M13" s="637"/>
      <c r="N13" s="638"/>
      <c r="O13" s="639"/>
      <c r="P13" s="640"/>
    </row>
    <row r="14" spans="1:16" s="614" customFormat="1" x14ac:dyDescent="0.3">
      <c r="B14" s="898"/>
      <c r="C14" s="892"/>
      <c r="D14" s="767"/>
      <c r="E14" s="886"/>
      <c r="F14" s="886"/>
      <c r="G14" s="893"/>
      <c r="H14" s="894"/>
      <c r="I14" s="895"/>
      <c r="J14" s="896"/>
      <c r="K14" s="897"/>
      <c r="M14" s="637"/>
      <c r="N14" s="638"/>
      <c r="O14" s="639"/>
      <c r="P14" s="640"/>
    </row>
    <row r="15" spans="1:16" s="614" customFormat="1" x14ac:dyDescent="0.3">
      <c r="B15" s="898"/>
      <c r="C15" s="892"/>
      <c r="D15" s="767"/>
      <c r="E15" s="886"/>
      <c r="F15" s="886"/>
      <c r="G15" s="893"/>
      <c r="H15" s="894"/>
      <c r="I15" s="895"/>
      <c r="J15" s="896"/>
      <c r="K15" s="897"/>
      <c r="M15" s="637"/>
      <c r="N15" s="638"/>
      <c r="O15" s="639"/>
      <c r="P15" s="640"/>
    </row>
    <row r="16" spans="1:16" s="614" customFormat="1" ht="13.8" thickBot="1" x14ac:dyDescent="0.35">
      <c r="B16" s="885"/>
      <c r="C16" s="899"/>
      <c r="D16" s="900"/>
      <c r="E16" s="886"/>
      <c r="F16" s="886"/>
      <c r="G16" s="901"/>
      <c r="H16" s="886"/>
      <c r="I16" s="888"/>
      <c r="J16" s="889"/>
      <c r="K16" s="886"/>
      <c r="M16" s="669"/>
      <c r="N16" s="670"/>
      <c r="O16" s="671"/>
      <c r="P16" s="640"/>
    </row>
    <row r="17" spans="13:16" x14ac:dyDescent="0.25">
      <c r="M17" s="604"/>
      <c r="N17" s="604"/>
      <c r="O17" s="604"/>
      <c r="P17" s="604"/>
    </row>
    <row r="18" spans="13:16" x14ac:dyDescent="0.25">
      <c r="M18" s="604"/>
      <c r="N18" s="604"/>
      <c r="O18" s="604"/>
      <c r="P18" s="604"/>
    </row>
    <row r="19" spans="13:16" x14ac:dyDescent="0.25">
      <c r="M19" s="604"/>
      <c r="N19" s="604"/>
      <c r="O19" s="604"/>
      <c r="P19" s="604"/>
    </row>
    <row r="20" spans="13:16" x14ac:dyDescent="0.25">
      <c r="M20" s="604"/>
      <c r="N20" s="604"/>
      <c r="O20" s="604"/>
      <c r="P20" s="604"/>
    </row>
  </sheetData>
  <sheetProtection algorithmName="SHA-512" hashValue="v163FswT8gKYkD2clv+6Kysq/09eIZzhml/918e/QyyMLdU+j8O0jOLj3AnYtnj4t3GFiQnoTUhHtakOcHaL9g==" saltValue="snMkgSgPEJjI2rqwxUdSew==" spinCount="100000" sheet="1" formatColumns="0" formatRows="0"/>
  <mergeCells count="4">
    <mergeCell ref="C2:K2"/>
    <mergeCell ref="B5:K5"/>
    <mergeCell ref="B8:K8"/>
    <mergeCell ref="M8:O9"/>
  </mergeCells>
  <dataValidations count="2">
    <dataValidation type="list" allowBlank="1" showInputMessage="1" showErrorMessage="1" sqref="I11:J16" xr:uid="{D6C9ECD1-4EE9-8141-918C-8EB2643FC25B}">
      <formula1>"Yes,No,NA"</formula1>
    </dataValidation>
    <dataValidation type="list" allowBlank="1" showInputMessage="1" showErrorMessage="1" sqref="G11:G16" xr:uid="{848F5AED-7790-964C-9165-0BD458F0DFCA}">
      <formula1>"Yes,No"</formula1>
    </dataValidation>
  </dataValidations>
  <pageMargins left="0.7" right="0.7" top="0.75" bottom="0.75" header="0.3" footer="0.3"/>
  <pageSetup scale="69" fitToHeight="0" orientation="landscape" verticalDpi="12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D20B-5144-6D42-9A09-14C560DCDEEC}">
  <sheetPr codeName="Sheet10">
    <tabColor theme="7" tint="0.79998168889431442"/>
    <pageSetUpPr fitToPage="1"/>
  </sheetPr>
  <dimension ref="A1:AB58"/>
  <sheetViews>
    <sheetView zoomScaleNormal="100" workbookViewId="0">
      <selection activeCell="B2" sqref="B2"/>
    </sheetView>
  </sheetViews>
  <sheetFormatPr defaultColWidth="9.09765625" defaultRowHeight="13.2" x14ac:dyDescent="0.25"/>
  <cols>
    <col min="1" max="1" width="6.59765625" style="343" customWidth="1"/>
    <col min="2" max="2" width="14.59765625" style="343" customWidth="1"/>
    <col min="3" max="3" width="25.09765625" style="343" bestFit="1" customWidth="1"/>
    <col min="4" max="4" width="18.5" style="343" customWidth="1"/>
    <col min="5" max="5" width="6.09765625" style="343" customWidth="1"/>
    <col min="6" max="6" width="8.09765625" style="343" customWidth="1"/>
    <col min="7" max="7" width="6.59765625" style="343" customWidth="1"/>
    <col min="8" max="8" width="22.09765625" style="343" bestFit="1" customWidth="1"/>
    <col min="9" max="9" width="18.09765625" style="343" bestFit="1" customWidth="1"/>
    <col min="10" max="10" width="12.59765625" style="343" bestFit="1" customWidth="1"/>
    <col min="11" max="11" width="12.59765625" style="343" customWidth="1"/>
    <col min="12" max="12" width="11.09765625" style="343" hidden="1" customWidth="1"/>
    <col min="13" max="13" width="10.3984375" style="343" hidden="1" customWidth="1"/>
    <col min="14" max="14" width="22.59765625" style="343" hidden="1" customWidth="1"/>
    <col min="15" max="15" width="24" style="343" customWidth="1"/>
    <col min="16" max="16" width="10" style="343" bestFit="1" customWidth="1"/>
    <col min="17" max="17" width="5.59765625" style="343" bestFit="1" customWidth="1"/>
    <col min="18" max="18" width="9.3984375" style="343" bestFit="1" customWidth="1"/>
    <col min="19" max="19" width="13.59765625" style="343" customWidth="1"/>
    <col min="20" max="20" width="11.59765625" style="343" bestFit="1" customWidth="1"/>
    <col min="21" max="21" width="36.8984375" style="343" customWidth="1"/>
    <col min="22" max="22" width="12.8984375" style="343" customWidth="1"/>
    <col min="23" max="16384" width="9.09765625" style="343"/>
  </cols>
  <sheetData>
    <row r="1" spans="1:28" ht="13.8" thickBot="1" x14ac:dyDescent="0.3"/>
    <row r="2" spans="1:28" ht="65.25" customHeight="1" thickBot="1" x14ac:dyDescent="0.3">
      <c r="B2" s="837" t="s">
        <v>1062</v>
      </c>
      <c r="C2" s="1786" t="s">
        <v>1235</v>
      </c>
      <c r="D2" s="1786"/>
      <c r="E2" s="1786"/>
      <c r="F2" s="1786"/>
      <c r="G2" s="1786"/>
      <c r="H2" s="1786"/>
      <c r="I2" s="1786"/>
      <c r="J2" s="1786"/>
      <c r="K2" s="1786"/>
      <c r="L2" s="1786"/>
      <c r="M2" s="1786"/>
      <c r="N2" s="1786"/>
      <c r="O2" s="1786"/>
      <c r="P2" s="1786"/>
      <c r="Q2" s="1786"/>
      <c r="R2" s="1786"/>
      <c r="S2" s="1786"/>
      <c r="T2" s="1786"/>
      <c r="U2" s="1787"/>
      <c r="X2" s="604"/>
      <c r="Y2" s="604"/>
      <c r="Z2" s="604"/>
      <c r="AA2" s="604"/>
      <c r="AB2" s="604"/>
    </row>
    <row r="3" spans="1:28" x14ac:dyDescent="0.25">
      <c r="B3" s="601"/>
      <c r="I3" s="601"/>
      <c r="X3" s="604"/>
      <c r="Y3" s="604"/>
      <c r="Z3" s="604"/>
      <c r="AA3" s="604"/>
      <c r="AB3" s="604"/>
    </row>
    <row r="4" spans="1:28" x14ac:dyDescent="0.25">
      <c r="B4" s="601"/>
      <c r="X4" s="604"/>
      <c r="Y4" s="604"/>
      <c r="Z4" s="604"/>
      <c r="AA4" s="604"/>
      <c r="AB4" s="604"/>
    </row>
    <row r="5" spans="1:28" ht="13.8" thickBot="1" x14ac:dyDescent="0.3">
      <c r="B5" s="349" t="s">
        <v>1236</v>
      </c>
      <c r="X5" s="604"/>
      <c r="Y5" s="604"/>
      <c r="Z5" s="604"/>
      <c r="AA5" s="604"/>
      <c r="AB5" s="604"/>
    </row>
    <row r="6" spans="1:28" ht="13.8" thickBot="1" x14ac:dyDescent="0.3">
      <c r="B6" s="1846" t="s">
        <v>1237</v>
      </c>
      <c r="C6" s="1847"/>
      <c r="H6" s="601"/>
      <c r="I6" s="601"/>
      <c r="X6" s="604"/>
      <c r="Y6" s="604"/>
      <c r="Z6" s="604"/>
      <c r="AA6" s="604"/>
      <c r="AB6" s="604"/>
    </row>
    <row r="7" spans="1:28" ht="16.5" customHeight="1" thickBot="1" x14ac:dyDescent="0.3">
      <c r="B7" s="902" t="s">
        <v>1238</v>
      </c>
      <c r="C7" s="903" t="str">
        <f>IF('[2]Project Information'!$C$8="","Complete Project Information Tab",'[2]Project Information'!$C$8)</f>
        <v>Complete Project Information Tab</v>
      </c>
      <c r="D7" s="904"/>
      <c r="E7" s="1848" t="s">
        <v>1239</v>
      </c>
      <c r="F7" s="1849"/>
      <c r="G7" s="1849"/>
      <c r="H7" s="1849"/>
      <c r="I7" s="1850"/>
      <c r="K7" s="1851" t="s">
        <v>1240</v>
      </c>
      <c r="L7" s="1852"/>
      <c r="M7" s="1852"/>
      <c r="N7" s="1852"/>
      <c r="O7" s="1853"/>
      <c r="X7" s="604"/>
      <c r="Y7" s="604"/>
      <c r="Z7" s="604"/>
      <c r="AA7" s="604"/>
      <c r="AB7" s="604"/>
    </row>
    <row r="8" spans="1:28" ht="16.5" customHeight="1" thickBot="1" x14ac:dyDescent="0.3">
      <c r="B8" s="905" t="s">
        <v>1241</v>
      </c>
      <c r="C8" s="906" t="str">
        <f>IF('[2]Project Information'!$F$10="","Complete Project Information Tab",'[2]Project Information'!$F$10)</f>
        <v>Complete Project Information Tab</v>
      </c>
      <c r="D8" s="349"/>
      <c r="E8" s="1854" t="s">
        <v>1242</v>
      </c>
      <c r="F8" s="1855"/>
      <c r="G8" s="1856"/>
      <c r="H8" s="907" t="s">
        <v>1243</v>
      </c>
      <c r="I8" s="907" t="s">
        <v>1244</v>
      </c>
      <c r="K8" s="1857" t="str">
        <f>IF((SUM(Table6a[Total UA])+SUM(Table6b[Total UA])+SUM(Table6c[Total UA]))&lt;=(SUM(Table6a[ENERGY STAR Requirement UA])+SUM(Table6b[ENERGY STAR Requirement UA])+SUM(Table6c[ENERGY STAR Requirement UA])),"PASS",
IF((SUM(Table6a[Total UA])+SUM(Table6b[Total UA])+SUM(Table6c[Total UA]))&gt;(SUM(Table6a[ENERGY STAR Requirement UA])+SUM(Table6b[ENERGY STAR Requirement UA])+SUM(Table6c[ENERGY STAR Requirement UA])),"FAIL",
"COMPLETE TABLES BELOW"))</f>
        <v>PASS</v>
      </c>
      <c r="L8" s="1858"/>
      <c r="M8" s="1858"/>
      <c r="N8" s="1858"/>
      <c r="O8" s="1859"/>
      <c r="P8" s="908"/>
      <c r="Q8" s="908"/>
      <c r="R8" s="908"/>
      <c r="S8" s="601"/>
      <c r="X8" s="604"/>
      <c r="Y8" s="604"/>
      <c r="Z8" s="604"/>
      <c r="AA8" s="604"/>
      <c r="AB8" s="604"/>
    </row>
    <row r="9" spans="1:28" ht="16.5" customHeight="1" thickBot="1" x14ac:dyDescent="0.3">
      <c r="B9" s="905" t="s">
        <v>1245</v>
      </c>
      <c r="C9" s="909" t="str">
        <f>IF('[2]Project Information'!$F$8="","Complete Project Information Tab",'[2]Project Information'!$F$8)</f>
        <v>Complete Project Information Tab</v>
      </c>
      <c r="D9" s="910"/>
      <c r="E9" s="1863"/>
      <c r="F9" s="1864"/>
      <c r="G9" s="1865"/>
      <c r="H9" s="911" t="str">
        <f>IF(SUM(Table6a[Total Area],Table6b[Total Area],Table6c[Total Area])=0,"",SUM(Table6a[Total Area],Table6b[Total Area],Table6c[Total Area]))</f>
        <v/>
      </c>
      <c r="I9" s="912" t="str">
        <f>IF($E$9="","",$H$9/$E$9)</f>
        <v/>
      </c>
      <c r="K9" s="1860"/>
      <c r="L9" s="1861"/>
      <c r="M9" s="1861"/>
      <c r="N9" s="1861"/>
      <c r="O9" s="1862"/>
      <c r="P9" s="908"/>
      <c r="Q9" s="908"/>
      <c r="R9" s="908"/>
      <c r="X9" s="604"/>
      <c r="Y9" s="604"/>
      <c r="Z9" s="604"/>
      <c r="AA9" s="604"/>
      <c r="AB9" s="604"/>
    </row>
    <row r="10" spans="1:28" ht="12.6" customHeight="1" x14ac:dyDescent="0.25">
      <c r="B10" s="597"/>
      <c r="C10" s="602"/>
      <c r="D10" s="602"/>
      <c r="G10" s="866"/>
      <c r="H10" s="866"/>
      <c r="I10" s="913"/>
      <c r="J10" s="601"/>
      <c r="L10" s="601"/>
      <c r="M10" s="601"/>
      <c r="N10" s="601"/>
      <c r="O10" s="601"/>
      <c r="W10" s="695"/>
      <c r="X10" s="1738" t="s">
        <v>1158</v>
      </c>
      <c r="Y10" s="1739"/>
      <c r="Z10" s="1740"/>
      <c r="AA10" s="604"/>
      <c r="AB10" s="604"/>
    </row>
    <row r="11" spans="1:28" ht="12.9" customHeight="1" thickBot="1" x14ac:dyDescent="0.3">
      <c r="B11" s="349" t="s">
        <v>1246</v>
      </c>
      <c r="C11" s="601"/>
      <c r="D11" s="601"/>
      <c r="E11" s="601"/>
      <c r="G11" s="601"/>
      <c r="H11" s="601"/>
      <c r="I11" s="601"/>
      <c r="J11" s="601"/>
      <c r="K11" s="601"/>
      <c r="L11" s="601" t="s">
        <v>1247</v>
      </c>
      <c r="M11" s="601" t="s">
        <v>1247</v>
      </c>
      <c r="N11" s="601" t="s">
        <v>1247</v>
      </c>
      <c r="W11" s="695"/>
      <c r="X11" s="1744"/>
      <c r="Y11" s="1745"/>
      <c r="Z11" s="1746"/>
      <c r="AA11" s="604"/>
      <c r="AB11" s="604"/>
    </row>
    <row r="12" spans="1:28" ht="50.25" customHeight="1" thickBot="1" x14ac:dyDescent="0.35">
      <c r="A12"/>
      <c r="B12" s="914" t="s">
        <v>1248</v>
      </c>
      <c r="C12" s="915" t="s">
        <v>1249</v>
      </c>
      <c r="D12" s="915" t="s">
        <v>1250</v>
      </c>
      <c r="E12" s="914" t="s">
        <v>1251</v>
      </c>
      <c r="F12" s="914" t="s">
        <v>1252</v>
      </c>
      <c r="G12" s="914" t="s">
        <v>1253</v>
      </c>
      <c r="H12" s="841" t="s">
        <v>1254</v>
      </c>
      <c r="I12" s="841" t="s">
        <v>1255</v>
      </c>
      <c r="J12" s="841" t="s">
        <v>1256</v>
      </c>
      <c r="K12" s="841" t="s">
        <v>1257</v>
      </c>
      <c r="L12" s="915" t="s">
        <v>1258</v>
      </c>
      <c r="M12" s="915" t="s">
        <v>1259</v>
      </c>
      <c r="N12" s="915" t="s">
        <v>1260</v>
      </c>
      <c r="O12" s="915" t="s">
        <v>1261</v>
      </c>
      <c r="P12" s="915" t="s">
        <v>1262</v>
      </c>
      <c r="Q12" s="915" t="s">
        <v>1263</v>
      </c>
      <c r="R12" s="915" t="s">
        <v>1264</v>
      </c>
      <c r="S12" s="916" t="s">
        <v>1231</v>
      </c>
      <c r="T12" s="841" t="s">
        <v>1232</v>
      </c>
      <c r="U12" s="841" t="s">
        <v>1233</v>
      </c>
      <c r="V12" s="842" t="s">
        <v>1265</v>
      </c>
      <c r="X12" s="881"/>
      <c r="Y12" s="882"/>
      <c r="Z12" s="883"/>
      <c r="AA12" s="604"/>
      <c r="AB12" s="604"/>
    </row>
    <row r="13" spans="1:28" s="614" customFormat="1" x14ac:dyDescent="0.3">
      <c r="B13" s="917"/>
      <c r="C13" s="918"/>
      <c r="D13" s="919"/>
      <c r="E13" s="917"/>
      <c r="F13" s="920"/>
      <c r="G13" s="921" t="str">
        <f>IF(Table6a[[#This Row],[Qty]]="","",Table6a[[#This Row],[Qty]]*Table6a[[#This Row],[Area]])</f>
        <v/>
      </c>
      <c r="H13" s="919"/>
      <c r="I13" s="922"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3" s="923" t="str">
        <f>IF(Table6a[[#This Row],[Total Area]]="","",Table6a[[#This Row],[Total Area]]*Table6a[[#This Row],[ENERGY STAR Requirement
U-FACTOR]])</f>
        <v/>
      </c>
      <c r="K13" s="924"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3" s="925"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3" s="925" t="str">
        <f>IF(AND(Table6a[[#This Row],[WINDOW TYPE]]="Not Class AW",$C$7="Prescriptive"),3,
IF(Table6a[[#This Row],[WINDOW TYPE]]="Not Class AW",4,
IF(AND(OR($C$7="ASHRAE",$C$7="Title 24 - Whole Building Models",$C$7="ERI",$C$7="Title 24 - Dwelling Unit Models"),$O13="&lt; 0.25"),7,
IF(AND(OR($C$7="ASHRAE",$C$7="Title 24 - Whole Building Models",$C$7="ERI",$C$7="Title 24 - Dwelling Unit Models"),$O13="0.25 &lt; PF &lt; 0.5"),8,
IF(AND(OR($C$7="ASHRAE",$C$7="Title 24 - Whole Building Models",$C$7="ERI",$C$7="Title 24 - Dwelling Unit Models"),$O13="&gt;= 0.5"),9,
IF(AND(Table6a[[#This Row],[WINDOW TYPE]]="Class AW",$C$7="Prescriptive"),4,
IF(Table6a[[#This Row],[WINDOW TYPE]]="Class AW",6,
"")))))))</f>
        <v/>
      </c>
      <c r="N13" s="925" t="str">
        <f>IF(AND($C$9="Version 1.2 OR+WA",$C$7="Prescriptive",$C$8="CZ 4 C"),2,
IF(AND($C$9="Version 1.2 OR+WA",$C$7="Prescriptive",$C$8="CZ 5"),3,
IF(AND($C$9="Version 1.2 OR+WA",$C$7="Prescriptive",$C$8="CZ 6"),4,
IF($C$8="CZ 1",2,
IF($C$8="CZ 2",3,
IF($C$8="CZ 3",4,
IF($C$8="CZ 4",5,
IF($C$8="CZ 4 C",6,
IF($C$8="CZ 5",7,
IF($C$8="CZ 6",8,
IF($C$8="CZ 7",9,
IF($C$8="CZ 8",10,""))))))))))))</f>
        <v/>
      </c>
      <c r="O13" s="918"/>
      <c r="P13" s="926"/>
      <c r="Q13" s="925" t="str">
        <f>IF(Table6a[[#This Row],[Total Area]]="","",Table6a[[#This Row],[Total Area]]*Table6a[[#This Row],[ASSEMBLY
U-FACTOR]])</f>
        <v/>
      </c>
      <c r="R13" s="926"/>
      <c r="S13" s="927"/>
      <c r="T13" s="928"/>
      <c r="U13" s="928"/>
      <c r="V13" s="929"/>
      <c r="X13" s="637"/>
      <c r="Y13" s="638"/>
      <c r="Z13" s="639"/>
      <c r="AA13" s="640"/>
      <c r="AB13" s="640"/>
    </row>
    <row r="14" spans="1:28" s="614" customFormat="1" x14ac:dyDescent="0.3">
      <c r="B14" s="930"/>
      <c r="C14" s="931"/>
      <c r="D14" s="932"/>
      <c r="E14" s="930"/>
      <c r="F14" s="933"/>
      <c r="G14" s="934" t="str">
        <f>IF(Table6a[[#This Row],[Qty]]="","",Table6a[[#This Row],[Qty]]*Table6a[[#This Row],[Area]])</f>
        <v/>
      </c>
      <c r="H14" s="932"/>
      <c r="I14" s="935"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4" s="936" t="str">
        <f>IF(Table6a[[#This Row],[Total Area]]="","",Table6a[[#This Row],[Total Area]]*Table6a[[#This Row],[ENERGY STAR Requirement
U-FACTOR]])</f>
        <v/>
      </c>
      <c r="K14" s="935"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4" s="937"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4" s="937" t="str">
        <f>IF(AND(Table6a[[#This Row],[WINDOW TYPE]]="Not Class AW",$C$7="Prescriptive"),3,
IF(Table6a[[#This Row],[WINDOW TYPE]]="Not Class AW",4,
IF(AND(OR($C$7="ASHRAE",$C$7="Title 24 - Whole Building Models",$C$7="ERI",$C$7="Title 24 - Dwelling Unit Models"),$O14="&lt; 0.25"),7,
IF(AND(OR($C$7="ASHRAE",$C$7="Title 24 - Whole Building Models",$C$7="ERI",$C$7="Title 24 - Dwelling Unit Models"),$O14="0.25 &lt; PF &lt; 0.5"),8,
IF(AND(OR($C$7="ASHRAE",$C$7="Title 24 - Whole Building Models",$C$7="ERI",$C$7="Title 24 - Dwelling Unit Models"),$O14="&gt;= 0.5"),9,
IF(AND(Table6a[[#This Row],[WINDOW TYPE]]="Class AW",$C$7="Prescriptive"),4,
IF(Table6a[[#This Row],[WINDOW TYPE]]="Class AW",6,
"")))))))</f>
        <v/>
      </c>
      <c r="N14" s="937" t="str">
        <f>IF(AND($C$9="Version 1.2 OR+WA",$C$7="Prescriptive",$C$8="CZ 4 C"),2,
IF(AND($C$9="Version 1.2 OR+WA",$C$7="Prescriptive",$C$8="CZ 5"),3,
IF(AND($C$9="Version 1.2 OR+WA",$C$7="Prescriptive",$C$8="CZ 6"),4,
IF($C$8="CZ 1",2,
IF($C$8="CZ 2",3,
IF($C$8="CZ 3",4,
IF($C$8="CZ 4",5,
IF($C$8="CZ 4 C",6,
IF($C$8="CZ 5",7,
IF($C$8="CZ 6",8,
IF($C$8="CZ 7",9,
IF($C$8="CZ 8",10,""))))))))))))</f>
        <v/>
      </c>
      <c r="O14" s="918"/>
      <c r="P14" s="938"/>
      <c r="Q14" s="937" t="str">
        <f>IF(Table6a[[#This Row],[Total Area]]="","",Table6a[[#This Row],[Total Area]]*Table6a[[#This Row],[ASSEMBLY
U-FACTOR]])</f>
        <v/>
      </c>
      <c r="R14" s="938"/>
      <c r="S14" s="939"/>
      <c r="T14" s="940"/>
      <c r="U14" s="940"/>
      <c r="V14" s="941"/>
      <c r="X14" s="637"/>
      <c r="Y14" s="638"/>
      <c r="Z14" s="639"/>
      <c r="AA14" s="640"/>
      <c r="AB14" s="640"/>
    </row>
    <row r="15" spans="1:28" s="614" customFormat="1" x14ac:dyDescent="0.3">
      <c r="B15" s="930"/>
      <c r="C15" s="931"/>
      <c r="D15" s="932"/>
      <c r="E15" s="930"/>
      <c r="F15" s="933"/>
      <c r="G15" s="934" t="str">
        <f>IF(Table6a[[#This Row],[Qty]]="","",Table6a[[#This Row],[Qty]]*Table6a[[#This Row],[Area]])</f>
        <v/>
      </c>
      <c r="H15" s="932"/>
      <c r="I15" s="935"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5" s="936" t="str">
        <f>IF(Table6a[[#This Row],[Total Area]]="","",Table6a[[#This Row],[Total Area]]*Table6a[[#This Row],[ENERGY STAR Requirement
U-FACTOR]])</f>
        <v/>
      </c>
      <c r="K15" s="935"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5" s="937"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5" s="937" t="str">
        <f>IF(AND(Table6a[[#This Row],[WINDOW TYPE]]="Not Class AW",$C$7="Prescriptive"),3,
IF(Table6a[[#This Row],[WINDOW TYPE]]="Not Class AW",4,
IF(AND(OR($C$7="ASHRAE",$C$7="Title 24 - Whole Building Models",$C$7="ERI",$C$7="Title 24 - Dwelling Unit Models"),$O15="&lt; 0.25"),7,
IF(AND(OR($C$7="ASHRAE",$C$7="Title 24 - Whole Building Models",$C$7="ERI",$C$7="Title 24 - Dwelling Unit Models"),$O15="0.25 &lt; PF &lt; 0.5"),8,
IF(AND(OR($C$7="ASHRAE",$C$7="Title 24 - Whole Building Models",$C$7="ERI",$C$7="Title 24 - Dwelling Unit Models"),$O15="&gt;= 0.5"),9,
IF(AND(Table6a[[#This Row],[WINDOW TYPE]]="Class AW",$C$7="Prescriptive"),4,
IF(Table6a[[#This Row],[WINDOW TYPE]]="Class AW",6,
"")))))))</f>
        <v/>
      </c>
      <c r="N15" s="937" t="str">
        <f t="shared" ref="N15:N20" si="0">IF(AND($C$9="Version 1.2 OR+WA",$C$7="Prescriptive",$C$8="CZ 4 C"),2,
IF(AND($C$9="Version 1.2 OR+WA",$C$7="Prescriptive",$C$8="CZ 5"),3,
IF(AND($C$9="Version 1.2 OR+WA",$C$7="Prescriptive",$C$8="CZ 6"),4,
IF($C$8="CZ 1",2,
IF($C$8="CZ 2",3,
IF($C$8="CZ 3",4,
IF($C$8="CZ 4",5,
IF($C$8="CZ 4 C",6,
IF($C$8="CZ 5",7,
IF($C$8="CZ 6",8,
IF($C$8="CZ 7",9,
IF($C$8="CZ 8",10,""))))))))))))</f>
        <v/>
      </c>
      <c r="O15" s="918"/>
      <c r="P15" s="938"/>
      <c r="Q15" s="937" t="str">
        <f>IF(Table6a[[#This Row],[Total Area]]="","",Table6a[[#This Row],[Total Area]]*Table6a[[#This Row],[ASSEMBLY
U-FACTOR]])</f>
        <v/>
      </c>
      <c r="R15" s="938"/>
      <c r="S15" s="939"/>
      <c r="T15" s="940"/>
      <c r="U15" s="940"/>
      <c r="V15" s="941"/>
      <c r="X15" s="637"/>
      <c r="Y15" s="638"/>
      <c r="Z15" s="639"/>
      <c r="AA15" s="640"/>
      <c r="AB15" s="640"/>
    </row>
    <row r="16" spans="1:28" s="614" customFormat="1" x14ac:dyDescent="0.3">
      <c r="B16" s="930"/>
      <c r="C16" s="931"/>
      <c r="D16" s="932"/>
      <c r="E16" s="930"/>
      <c r="F16" s="933"/>
      <c r="G16" s="934" t="str">
        <f>IF(Table6a[[#This Row],[Qty]]="","",Table6a[[#This Row],[Qty]]*Table6a[[#This Row],[Area]])</f>
        <v/>
      </c>
      <c r="H16" s="932"/>
      <c r="I16" s="935"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6" s="936" t="str">
        <f>IF(Table6a[[#This Row],[Total Area]]="","",Table6a[[#This Row],[Total Area]]*Table6a[[#This Row],[ENERGY STAR Requirement
U-FACTOR]])</f>
        <v/>
      </c>
      <c r="K16" s="935"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6" s="937"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6" s="937" t="str">
        <f>IF(AND(Table6a[[#This Row],[WINDOW TYPE]]="Not Class AW",$C$7="Prescriptive"),3,
IF(Table6a[[#This Row],[WINDOW TYPE]]="Not Class AW",4,
IF(AND(OR($C$7="ASHRAE",$C$7="Title 24 - Whole Building Models",$C$7="ERI",$C$7="Title 24 - Dwelling Unit Models"),$O16="&lt; 0.25"),7,
IF(AND(OR($C$7="ASHRAE",$C$7="Title 24 - Whole Building Models",$C$7="ERI",$C$7="Title 24 - Dwelling Unit Models"),$O16="0.25 &lt; PF &lt; 0.5"),8,
IF(AND(OR($C$7="ASHRAE",$C$7="Title 24 - Whole Building Models",$C$7="ERI",$C$7="Title 24 - Dwelling Unit Models"),$O16="&gt;= 0.5"),9,
IF(AND(Table6a[[#This Row],[WINDOW TYPE]]="Class AW",$C$7="Prescriptive"),4,
IF(Table6a[[#This Row],[WINDOW TYPE]]="Class AW",6,
"")))))))</f>
        <v/>
      </c>
      <c r="N16" s="937" t="str">
        <f t="shared" si="0"/>
        <v/>
      </c>
      <c r="O16" s="918"/>
      <c r="P16" s="938"/>
      <c r="Q16" s="937" t="str">
        <f>IF(Table6a[[#This Row],[Total Area]]="","",Table6a[[#This Row],[Total Area]]*Table6a[[#This Row],[ASSEMBLY
U-FACTOR]])</f>
        <v/>
      </c>
      <c r="R16" s="938"/>
      <c r="S16" s="939"/>
      <c r="T16" s="942"/>
      <c r="U16" s="940"/>
      <c r="V16" s="941"/>
      <c r="X16" s="637"/>
      <c r="Y16" s="638"/>
      <c r="Z16" s="639"/>
      <c r="AA16" s="640"/>
      <c r="AB16" s="640"/>
    </row>
    <row r="17" spans="1:28" s="614" customFormat="1" x14ac:dyDescent="0.3">
      <c r="B17" s="930"/>
      <c r="C17" s="931"/>
      <c r="D17" s="932"/>
      <c r="E17" s="930"/>
      <c r="F17" s="933"/>
      <c r="G17" s="934" t="str">
        <f>IF(Table6a[[#This Row],[Qty]]="","",Table6a[[#This Row],[Qty]]*Table6a[[#This Row],[Area]])</f>
        <v/>
      </c>
      <c r="H17" s="932"/>
      <c r="I17" s="935"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7" s="936" t="str">
        <f>IF(Table6a[[#This Row],[Total Area]]="","",Table6a[[#This Row],[Total Area]]*Table6a[[#This Row],[ENERGY STAR Requirement
U-FACTOR]])</f>
        <v/>
      </c>
      <c r="K17" s="935"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7" s="937"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7" s="937" t="str">
        <f>IF(AND(Table6a[[#This Row],[WINDOW TYPE]]="Not Class AW",$C$7="Prescriptive"),3,
IF(Table6a[[#This Row],[WINDOW TYPE]]="Not Class AW",4,
IF(AND(OR($C$7="ASHRAE",$C$7="Title 24 - Whole Building Models",$C$7="ERI",$C$7="Title 24 - Dwelling Unit Models"),$O17="&lt; 0.25"),7,
IF(AND(OR($C$7="ASHRAE",$C$7="Title 24 - Whole Building Models",$C$7="ERI",$C$7="Title 24 - Dwelling Unit Models"),$O17="0.25 &lt; PF &lt; 0.5"),8,
IF(AND(OR($C$7="ASHRAE",$C$7="Title 24 - Whole Building Models",$C$7="ERI",$C$7="Title 24 - Dwelling Unit Models"),$O17="&gt;= 0.5"),9,
IF(AND(Table6a[[#This Row],[WINDOW TYPE]]="Class AW",$C$7="Prescriptive"),4,
IF(Table6a[[#This Row],[WINDOW TYPE]]="Class AW",6,
"")))))))</f>
        <v/>
      </c>
      <c r="N17" s="937" t="str">
        <f t="shared" si="0"/>
        <v/>
      </c>
      <c r="O17" s="918"/>
      <c r="P17" s="938"/>
      <c r="Q17" s="937" t="str">
        <f>IF(Table6a[[#This Row],[Total Area]]="","",Table6a[[#This Row],[Total Area]]*Table6a[[#This Row],[ASSEMBLY
U-FACTOR]])</f>
        <v/>
      </c>
      <c r="R17" s="938"/>
      <c r="S17" s="939"/>
      <c r="T17" s="942"/>
      <c r="U17" s="940"/>
      <c r="V17" s="941"/>
      <c r="X17" s="637"/>
      <c r="Y17" s="638"/>
      <c r="Z17" s="639"/>
      <c r="AA17" s="640"/>
      <c r="AB17" s="640"/>
    </row>
    <row r="18" spans="1:28" s="614" customFormat="1" x14ac:dyDescent="0.3">
      <c r="B18" s="930"/>
      <c r="C18" s="931"/>
      <c r="D18" s="931"/>
      <c r="E18" s="938"/>
      <c r="F18" s="943"/>
      <c r="G18" s="934" t="str">
        <f>IF(Table6a[[#This Row],[Qty]]="","",Table6a[[#This Row],[Qty]]*Table6a[[#This Row],[Area]])</f>
        <v/>
      </c>
      <c r="H18" s="931"/>
      <c r="I18" s="944"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8" s="936" t="str">
        <f>IF(Table6a[[#This Row],[Total Area]]="","",Table6a[[#This Row],[Total Area]]*Table6a[[#This Row],[ENERGY STAR Requirement
U-FACTOR]])</f>
        <v/>
      </c>
      <c r="K18" s="944"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8" s="937"/>
      <c r="M18" s="937"/>
      <c r="N18" s="937"/>
      <c r="O18" s="918"/>
      <c r="P18" s="938"/>
      <c r="Q18" s="945" t="str">
        <f>IF(Table6a[[#This Row],[Total Area]]="","",Table6a[[#This Row],[Total Area]]*Table6a[[#This Row],[ASSEMBLY
U-FACTOR]])</f>
        <v/>
      </c>
      <c r="R18" s="938"/>
      <c r="S18" s="939"/>
      <c r="T18" s="940"/>
      <c r="U18" s="940"/>
      <c r="V18" s="941"/>
      <c r="X18" s="637"/>
      <c r="Y18" s="638"/>
      <c r="Z18" s="639"/>
      <c r="AA18" s="640"/>
      <c r="AB18" s="640"/>
    </row>
    <row r="19" spans="1:28" s="614" customFormat="1" x14ac:dyDescent="0.3">
      <c r="B19" s="930"/>
      <c r="C19" s="931"/>
      <c r="D19" s="932"/>
      <c r="E19" s="930"/>
      <c r="F19" s="933"/>
      <c r="G19" s="934" t="str">
        <f>IF(Table6a[[#This Row],[Qty]]="","",Table6a[[#This Row],[Qty]]*Table6a[[#This Row],[Area]])</f>
        <v/>
      </c>
      <c r="H19" s="932"/>
      <c r="I19" s="935"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19" s="936" t="str">
        <f>IF(Table6a[[#This Row],[Total Area]]="","",Table6a[[#This Row],[Total Area]]*Table6a[[#This Row],[ENERGY STAR Requirement
U-FACTOR]])</f>
        <v/>
      </c>
      <c r="K19" s="935"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19" s="937"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19" s="937" t="str">
        <f>IF(AND(Table6a[[#This Row],[WINDOW TYPE]]="Not Class AW",$C$7="Prescriptive"),3,
IF(Table6a[[#This Row],[WINDOW TYPE]]="Not Class AW",4,
IF(AND(OR($C$7="ASHRAE",$C$7="Title 24 - Whole Building Models",$C$7="ERI",$C$7="Title 24 - Dwelling Unit Models"),$O19="&lt; 0.25"),7,
IF(AND(OR($C$7="ASHRAE",$C$7="Title 24 - Whole Building Models",$C$7="ERI",$C$7="Title 24 - Dwelling Unit Models"),$O19="0.25 &lt; PF &lt; 0.5"),8,
IF(AND(OR($C$7="ASHRAE",$C$7="Title 24 - Whole Building Models",$C$7="ERI",$C$7="Title 24 - Dwelling Unit Models"),$O19="&gt;= 0.5"),9,
IF(AND(Table6a[[#This Row],[WINDOW TYPE]]="Class AW",$C$7="Prescriptive"),4,
IF(Table6a[[#This Row],[WINDOW TYPE]]="Class AW",6,
"")))))))</f>
        <v/>
      </c>
      <c r="N19" s="937" t="str">
        <f t="shared" si="0"/>
        <v/>
      </c>
      <c r="O19" s="918"/>
      <c r="P19" s="938"/>
      <c r="Q19" s="937" t="str">
        <f>IF(Table6a[[#This Row],[Total Area]]="","",Table6a[[#This Row],[Total Area]]*Table6a[[#This Row],[ASSEMBLY
U-FACTOR]])</f>
        <v/>
      </c>
      <c r="R19" s="938"/>
      <c r="S19" s="939"/>
      <c r="T19" s="942"/>
      <c r="U19" s="940"/>
      <c r="V19" s="941"/>
      <c r="X19" s="637"/>
      <c r="Y19" s="638"/>
      <c r="Z19" s="639"/>
      <c r="AA19" s="640"/>
      <c r="AB19" s="640"/>
    </row>
    <row r="20" spans="1:28" s="614" customFormat="1" ht="13.8" thickBot="1" x14ac:dyDescent="0.35">
      <c r="B20" s="946"/>
      <c r="C20" s="947"/>
      <c r="D20" s="948"/>
      <c r="E20" s="946"/>
      <c r="F20" s="949"/>
      <c r="G20" s="950" t="str">
        <f>IF(Table6a[[#This Row],[Qty]]="","",Table6a[[#This Row],[Qty]]*Table6a[[#This Row],[Area]])</f>
        <v/>
      </c>
      <c r="H20" s="948"/>
      <c r="I20" s="951" t="str">
        <f>IFERROR(IF(AND($C$9="Version 1.2 OR+WA",OR($C$8="CZ 1",$C$8="CZ 2",$C$8="CZ 3",$C$8="CZ 4",$C$8="CZ 7",$C$8="CZ 8")),"N/A - Update CZ",
IF(AND(OR($C$7="ERI",$C$7="ASHRAE",$C$7="Title 24 - Dwelling Unit Models",$C$7="Title 24 - Whole Building Models"),Table6a[[#This Row],[WINDOW TYPE]]="Class AW"),INDEX([2]!IECC2009_Fenestration_AW_Windows[#All],Table6a[[#This Row],[WindowFrame_UIndex]],Table6a[[#This Row],[CZ_Index]]),
IF(AND(OR($C$7="ERI",$C$7="ASHRAE",$C$7="Title 24 - Dwelling Unit Models",$C$7="Title 24 - Whole Building Models"),Table6a[[#This Row],[WINDOW TYPE]]="Not Class AW"),INDEX([2]!IECC2009_Fenestration_NotAW_Windows[#All],Table6a[[#This Row],[WindowFrame_UIndex]],Table6a[[#This Row],[CZ_Index]]),
IF(AND($C$7="Prescriptive",Table6a[[#This Row],[WINDOW TYPE]]="Class AW",$C$9="Version 1"),INDEX([2]!ESRefDesign_FenestrationAW_V1[#All],Table6a[[#This Row],[WindowFrame_UIndex]],Table6a[[#This Row],[CZ_Index]]),
IF(AND($C$7="Prescriptive",Table6a[[#This Row],[WINDOW TYPE]]="Not Class AW",$C$9="Version 1"),INDEX([2]!ESRefDesign_Fenestration_V1[#All],Table6a[[#This Row],[WindowFrame_UIndex]],Table6a[[#This Row],[CZ_Index]]),
IF(AND($C$7="Prescriptive",Table6a[[#This Row],[WINDOW TYPE]]="Class AW",$C$9="Version 1.1"),INDEX([2]!ESRefDesign_FenestrationAW_V11[#All],Table6a[[#This Row],[WindowFrame_UIndex]],Table6a[[#This Row],[CZ_Index]]),
IF(AND($C$7="Prescriptive",Table6a[[#This Row],[WINDOW TYPE]]="Not Class AW",$C$9="Version 1.1"),INDEX([2]!ESRefDesign_Fenestration_V11[#All],Table6a[[#This Row],[WindowFrame_UIndex]],Table6a[[#This Row],[CZ_Index]]),
IF(AND($C$7="Prescriptive",Table6a[[#This Row],[WINDOW TYPE]]="Class AW",$C$9="Version 1.2 OR+WA"),INDEX([2]!ESRefDesign_FenestrationAW_V12[#All],Table6a[[#This Row],[WindowFrame_UIndex]],Table6a[[#This Row],[CZ_Index]]),
IF(AND($C$7="Prescriptive",Table6a[[#This Row],[WINDOW TYPE]]="Not Class AW",$C$9="Version 1.2 OR+WA"),INDEX([2]!ESRefDesign_Fenestration_V12[#All],Table6a[[#This Row],[WindowFrame_UIndex]],Table6a[[#This Row],[CZ_Index]]),
""))))))))),"")</f>
        <v/>
      </c>
      <c r="J20" s="952" t="str">
        <f>IF(Table6a[[#This Row],[Total Area]]="","",Table6a[[#This Row],[Total Area]]*Table6a[[#This Row],[ENERGY STAR Requirement
U-FACTOR]])</f>
        <v/>
      </c>
      <c r="K20" s="953" t="str">
        <f>IFERROR(IF(AND(Table6a[[#This Row],[PROJECTION FACTOR (PF)
(ERI/ASHRAE &amp; Class AW only)]]="",OR($C$7="ERI",$C$7="ASHRAE",$C$7="Title 24 - Dwelling Unit Models",$C$7="Title 24 - Whole Building Models"),Table6a[[#This Row],[WINDOW TYPE]]="Class AW"),"Enter PF",
IF(AND($C$9="Version 1.2 OR+WA",OR($C$8="CZ 1",$C$8="CZ 2",$C$8="CZ 3",$C$8="CZ 4",$C$8="CZ 7",$C$8="CZ 8")),"N/A - Update CZ",
IF(AND(OR($C$7="ERI",$C$7="ASHRAE",$C$7="Title 24 - Dwelling Unit Models",$C$7="Title 24 - Whole Building Models"),Table6a[[#This Row],[WINDOW TYPE]]="Class AW"),INDEX([2]!IECC2009_Fenestration_AW_Windows[#All],Table6a[[#This Row],[WindowFrame_SHGCIndex]],Table6a[[#This Row],[CZ_Index]]),
IF(AND(OR($C$7="ERI",$C$7="ASHRAE",$C$7="Title 24 - Dwelling Unit Models",$C$7="Title 24 - Whole Building Models"),Table6a[[#This Row],[WINDOW TYPE]]="Not Class AW"),INDEX([2]!IECC2009_Fenestration_NotAW_Windows[#All],Table6a[[#This Row],[WindowFrame_SHGCIndex]],Table6a[[#This Row],[CZ_Index]]),
IF(AND($C$7="Prescriptive",Table6a[[#This Row],[WINDOW TYPE]]="Class AW",$C$9="Version 1"),INDEX([2]!ESRefDesign_FenestrationAW_V1[#All],Table6a[[#This Row],[WindowFrame_SHGCIndex]],Table6a[[#This Row],[CZ_Index]]),
IF(AND($C$7="Prescriptive",Table6a[[#This Row],[WINDOW TYPE]]="Not Class AW",$C$9="Version 1"),INDEX([2]!ESRefDesign_Fenestration_V1[#All],Table6a[[#This Row],[WindowFrame_SHGCIndex]],Table6a[[#This Row],[CZ_Index]]),
IF(AND($C$7="Prescriptive",Table6a[[#This Row],[WINDOW TYPE]]="Class AW",$C$9="Version 1.1"),INDEX([2]!ESRefDesign_FenestrationAW_V11[#All],Table6a[[#This Row],[WindowFrame_SHGCIndex]],Table6a[[#This Row],[CZ_Index]]),
IF(AND($C$7="Prescriptive",Table6a[[#This Row],[WINDOW TYPE]]="Not Class AW",$C$9="Version 1.1"),INDEX([2]!ESRefDesign_Fenestration_V11[#All],Table6a[[#This Row],[WindowFrame_SHGCIndex]],Table6a[[#This Row],[CZ_Index]]),
IF(AND($C$7="Prescriptive",Table6a[[#This Row],[WINDOW TYPE]]="Class AW",$C$9="Version 1.2 OR+WA"),INDEX([2]!ESRefDesign_FenestrationAW_V12[#All],Table6a[[#This Row],[WindowFrame_SHGCIndex]],Table6a[[#This Row],[CZ_Index]]),
IF(AND($C$7="Prescriptive",Table6a[[#This Row],[WINDOW TYPE]]="Not Class AW",$C$9="Version 1.2 OR+WA"),INDEX([2]!ESRefDesign_Fenestration_V12[#All],Table6a[[#This Row],[WindowFrame_SHGCIndex]],Table6a[[#This Row],[CZ_Index]]),
"")))))))))),"")</f>
        <v/>
      </c>
      <c r="L20" s="954" t="str">
        <f>IF(Table6a[[#This Row],[WINDOW TYPE]]="Not Class AW",2,
IF(AND($C$7="Prescriptive",Table6a[[#This Row],[Fixed or Operable?
(Prescriptive &amp; Class AW Only)]]="Fixed"),2,
IF(AND($C$7="Prescriptive",Table6a[[#This Row],[Fixed or Operable?
(Prescriptive &amp; Class AW Only)]]="Operable"),3,
IF(Table6a[[#This Row],[Window Frame
(ERI/ASHRAE &amp; Class AW only)]]="Non-Metal",2,
IF(Table6a[[#This Row],[Window Frame
(ERI/ASHRAE &amp; Class AW only)]]="Metal - Curtainwall/storefront",3,
IF(Table6a[[#This Row],[Window Frame
(ERI/ASHRAE &amp; Class AW only)]]="Metal - Entrance door",4,
IF(Table6a[[#This Row],[Window Frame
(ERI/ASHRAE &amp; Class AW only)]]="Metal - Other",5,
"")))))))</f>
        <v/>
      </c>
      <c r="M20" s="954" t="str">
        <f>IF(AND(Table6a[[#This Row],[WINDOW TYPE]]="Not Class AW",$C$7="Prescriptive"),3,
IF(Table6a[[#This Row],[WINDOW TYPE]]="Not Class AW",4,
IF(AND(OR($C$7="ASHRAE",$C$7="Title 24 - Whole Building Models",$C$7="ERI",$C$7="Title 24 - Dwelling Unit Models"),$O20="&lt; 0.25"),7,
IF(AND(OR($C$7="ASHRAE",$C$7="Title 24 - Whole Building Models",$C$7="ERI",$C$7="Title 24 - Dwelling Unit Models"),$O20="0.25 &lt; PF &lt; 0.5"),8,
IF(AND(OR($C$7="ASHRAE",$C$7="Title 24 - Whole Building Models",$C$7="ERI",$C$7="Title 24 - Dwelling Unit Models"),$O20="&gt;= 0.5"),9,
IF(AND(Table6a[[#This Row],[WINDOW TYPE]]="Class AW",$C$7="Prescriptive"),4,
IF(Table6a[[#This Row],[WINDOW TYPE]]="Class AW",6,
"")))))))</f>
        <v/>
      </c>
      <c r="N20" s="954" t="str">
        <f t="shared" si="0"/>
        <v/>
      </c>
      <c r="O20" s="955"/>
      <c r="P20" s="956"/>
      <c r="Q20" s="954" t="str">
        <f>IF(Table6a[[#This Row],[Total Area]]="","",Table6a[[#This Row],[Total Area]]*Table6a[[#This Row],[ASSEMBLY
U-FACTOR]])</f>
        <v/>
      </c>
      <c r="R20" s="956"/>
      <c r="S20" s="957"/>
      <c r="T20" s="958"/>
      <c r="U20" s="959"/>
      <c r="V20" s="960"/>
      <c r="X20" s="669"/>
      <c r="Y20" s="670"/>
      <c r="Z20" s="671"/>
      <c r="AA20" s="640"/>
      <c r="AB20" s="640"/>
    </row>
    <row r="21" spans="1:28" s="349" customFormat="1" ht="13.8" hidden="1" thickBot="1" x14ac:dyDescent="0.3">
      <c r="D21" s="347"/>
      <c r="E21" s="961"/>
      <c r="F21" s="347">
        <f>SUM(Table6a[Area])</f>
        <v>0</v>
      </c>
      <c r="G21" s="347">
        <f>SUM(Table6a[Total Area])</f>
        <v>0</v>
      </c>
      <c r="H21" s="961"/>
      <c r="I21" s="962"/>
      <c r="J21" s="963">
        <f>SUM(Table6a[ENERGY STAR Requirement UA])</f>
        <v>0</v>
      </c>
      <c r="K21" s="964"/>
      <c r="L21" s="962"/>
      <c r="M21" s="962"/>
      <c r="N21" s="962"/>
      <c r="Q21" s="349">
        <f>SUM(Table6a[Total UA])</f>
        <v>0</v>
      </c>
      <c r="X21" s="965"/>
      <c r="Y21" s="965"/>
      <c r="Z21" s="965"/>
      <c r="AA21" s="965"/>
      <c r="AB21" s="965"/>
    </row>
    <row r="22" spans="1:28" ht="13.8" thickBot="1" x14ac:dyDescent="0.3">
      <c r="D22" s="966" t="s">
        <v>1266</v>
      </c>
      <c r="E22" s="1844" t="str">
        <f>IFERROR(SUM(Table6a[Total UA])/SUM(Table6a[Total Area]),"")</f>
        <v/>
      </c>
      <c r="F22" s="1845"/>
      <c r="G22" s="347"/>
      <c r="H22" s="866"/>
      <c r="I22" s="601"/>
      <c r="J22" s="601"/>
      <c r="K22" s="602"/>
      <c r="L22" s="601"/>
      <c r="M22" s="601"/>
      <c r="N22" s="601"/>
      <c r="X22" s="604"/>
      <c r="Y22" s="604"/>
      <c r="Z22" s="604"/>
      <c r="AA22" s="604"/>
      <c r="AB22" s="604"/>
    </row>
    <row r="23" spans="1:28" ht="12.6" customHeight="1" x14ac:dyDescent="0.25">
      <c r="D23" s="347"/>
      <c r="E23" s="866"/>
      <c r="F23" s="866"/>
      <c r="G23" s="347"/>
      <c r="H23" s="866"/>
      <c r="I23" s="601"/>
      <c r="J23" s="601"/>
      <c r="K23" s="602"/>
      <c r="L23" s="601"/>
      <c r="M23" s="601"/>
      <c r="N23" s="601"/>
      <c r="W23" s="695"/>
      <c r="X23" s="1738" t="s">
        <v>1158</v>
      </c>
      <c r="Y23" s="1739"/>
      <c r="Z23" s="1740"/>
      <c r="AA23" s="604"/>
      <c r="AB23" s="604"/>
    </row>
    <row r="24" spans="1:28" ht="12.9" customHeight="1" thickBot="1" x14ac:dyDescent="0.3">
      <c r="B24" s="349" t="s">
        <v>1267</v>
      </c>
      <c r="C24" s="601"/>
      <c r="D24" s="601"/>
      <c r="I24" s="601"/>
      <c r="K24" s="601"/>
      <c r="L24" s="601" t="s">
        <v>1247</v>
      </c>
      <c r="M24" s="601" t="s">
        <v>1247</v>
      </c>
      <c r="N24" s="601" t="s">
        <v>1247</v>
      </c>
      <c r="W24" s="695"/>
      <c r="X24" s="1744"/>
      <c r="Y24" s="1745"/>
      <c r="Z24" s="1746"/>
      <c r="AA24" s="604"/>
      <c r="AB24" s="604"/>
    </row>
    <row r="25" spans="1:28" ht="50.25" customHeight="1" thickBot="1" x14ac:dyDescent="0.35">
      <c r="A25"/>
      <c r="B25" s="914" t="s">
        <v>1248</v>
      </c>
      <c r="C25" s="915" t="s">
        <v>1268</v>
      </c>
      <c r="D25" s="915" t="s">
        <v>1269</v>
      </c>
      <c r="E25" s="914" t="s">
        <v>1251</v>
      </c>
      <c r="F25" s="914" t="s">
        <v>1252</v>
      </c>
      <c r="G25" s="914" t="s">
        <v>1253</v>
      </c>
      <c r="H25" s="841" t="s">
        <v>1270</v>
      </c>
      <c r="I25" s="841" t="s">
        <v>1255</v>
      </c>
      <c r="J25" s="841" t="s">
        <v>1256</v>
      </c>
      <c r="K25" s="841" t="s">
        <v>1257</v>
      </c>
      <c r="L25" s="915" t="s">
        <v>1258</v>
      </c>
      <c r="M25" s="915" t="s">
        <v>1259</v>
      </c>
      <c r="N25" s="915" t="s">
        <v>1260</v>
      </c>
      <c r="O25" s="915" t="s">
        <v>1271</v>
      </c>
      <c r="P25" s="915" t="s">
        <v>1262</v>
      </c>
      <c r="Q25" s="915" t="s">
        <v>1263</v>
      </c>
      <c r="R25" s="915" t="s">
        <v>1264</v>
      </c>
      <c r="S25" s="841" t="s">
        <v>1231</v>
      </c>
      <c r="T25" s="841" t="s">
        <v>1232</v>
      </c>
      <c r="U25" s="841" t="s">
        <v>1233</v>
      </c>
      <c r="V25" s="842" t="s">
        <v>1265</v>
      </c>
      <c r="X25" s="881"/>
      <c r="Y25" s="882"/>
      <c r="Z25" s="883"/>
      <c r="AA25" s="604"/>
      <c r="AB25" s="604"/>
    </row>
    <row r="26" spans="1:28" s="614" customFormat="1" x14ac:dyDescent="0.3">
      <c r="B26" s="917"/>
      <c r="C26" s="967"/>
      <c r="D26" s="919"/>
      <c r="E26" s="917"/>
      <c r="F26" s="917"/>
      <c r="G26" s="968" t="str">
        <f>IF(Table6b[[#This Row],[Qty]]="","",Table6b[[#This Row],[Qty]]*Table6b[[#This Row],[Area]])</f>
        <v/>
      </c>
      <c r="H26" s="918"/>
      <c r="I26" s="924"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26" s="969" t="str">
        <f>IF(Table6b[[#This Row],[Total Area]]="","",Table6b[[#This Row],[Total Area]]*Table6b[[#This Row],[ENERGY STAR Requirement
U-FACTOR]])</f>
        <v/>
      </c>
      <c r="K26" s="970"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26" s="925"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26" s="925" t="str">
        <f t="shared" ref="M26:M32" si="1">IF(OR($C$7="Prescriptive",$C$7="ERI",$C$7="Title 24 - Dwelling Unit Models"),4,
IF(AND(OR($C$7="ASHRAE",$C$7="Title 24 - Whole Building Models"),$O26="&lt; 0.25"),7,
IF(AND(OR($C$7="ASHRAE",$C$7="Title 24 - Whole Building Models"),$O26="0.25 &lt; PF &lt; 0.5"),8,
IF(AND(OR($C$7="ASHRAE",$C$7="Title 24 - Whole Building Models"),$O26="&gt;= 0.5"),9,
IF($C$7="","","")))))</f>
        <v/>
      </c>
      <c r="N26" s="925" t="str">
        <f t="shared" ref="N26:N32" si="2">IF(AND($C$9="Version 1.2 OR+WA",OR($C$7="Prescriptive",$C$7="ERI",$C$7="Title 24 - Dwelling Unit Models"),$C$8="CZ 4 C"),2,
IF(AND($C$9="Version 1.2 OR+WA",OR($C$7="Prescriptive",$C$7="ERI",$C$7="Title 24 - Dwelling Unit Models"),$C$8="CZ 5"),3,
IF(AND($C$9="Version 1.2 OR+WA",OR($C$7="Prescriptive",$C$7="ERI",$C$7="Title 24 - Dwelling Unit Models"),$C$8="CZ 6"),4,
IF($C$8="CZ 1",2,
IF($C$8="CZ 2",3,
IF($C$8="CZ 3",4,
IF($C$8="CZ 4",5,
IF($C$8="CZ 4 C",6,
IF($C$8="CZ 5",7,
IF($C$8="CZ 6",8,
IF($C$8="CZ 7",9,
IF($C$8="CZ 8",10,""))))))))))))</f>
        <v/>
      </c>
      <c r="O26" s="918"/>
      <c r="P26" s="926"/>
      <c r="Q26" s="925" t="str">
        <f>IF(Table6b[[#This Row],[Total Area]]="","",Table6b[[#This Row],[Total Area]]*Table6b[[#This Row],[ASSEMBLY
U-FACTOR]])</f>
        <v/>
      </c>
      <c r="R26" s="926"/>
      <c r="S26" s="927"/>
      <c r="T26" s="928"/>
      <c r="U26" s="928"/>
      <c r="V26" s="929"/>
      <c r="X26" s="637"/>
      <c r="Y26" s="638"/>
      <c r="Z26" s="639"/>
      <c r="AA26" s="640"/>
      <c r="AB26" s="640"/>
    </row>
    <row r="27" spans="1:28" s="614" customFormat="1" x14ac:dyDescent="0.3">
      <c r="B27" s="930"/>
      <c r="C27" s="931"/>
      <c r="D27" s="932"/>
      <c r="E27" s="930"/>
      <c r="F27" s="930"/>
      <c r="G27" s="968" t="str">
        <f>IF(Table6b[[#This Row],[Qty]]="","",Table6b[[#This Row],[Qty]]*Table6b[[#This Row],[Area]])</f>
        <v/>
      </c>
      <c r="H27" s="931"/>
      <c r="I27" s="935"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27" s="936" t="str">
        <f>IF(Table6b[[#This Row],[Total Area]]="","",Table6b[[#This Row],[Total Area]]*Table6b[[#This Row],[ENERGY STAR Requirement
U-FACTOR]])</f>
        <v/>
      </c>
      <c r="K27" s="971"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27" s="937"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27" s="937" t="str">
        <f t="shared" si="1"/>
        <v/>
      </c>
      <c r="N27" s="937" t="str">
        <f t="shared" si="2"/>
        <v/>
      </c>
      <c r="O27" s="918"/>
      <c r="P27" s="938"/>
      <c r="Q27" s="937" t="str">
        <f>IF(Table6b[[#This Row],[Total Area]]="","",Table6b[[#This Row],[Total Area]]*Table6b[[#This Row],[ASSEMBLY
U-FACTOR]])</f>
        <v/>
      </c>
      <c r="R27" s="938"/>
      <c r="S27" s="939"/>
      <c r="T27" s="940"/>
      <c r="U27" s="940"/>
      <c r="V27" s="941"/>
      <c r="X27" s="637"/>
      <c r="Y27" s="638"/>
      <c r="Z27" s="639"/>
      <c r="AA27" s="640"/>
      <c r="AB27" s="640"/>
    </row>
    <row r="28" spans="1:28" s="614" customFormat="1" x14ac:dyDescent="0.3">
      <c r="B28" s="930"/>
      <c r="C28" s="931"/>
      <c r="D28" s="932"/>
      <c r="E28" s="930"/>
      <c r="F28" s="930"/>
      <c r="G28" s="968" t="str">
        <f>IF(Table6b[[#This Row],[Qty]]="","",Table6b[[#This Row],[Qty]]*Table6b[[#This Row],[Area]])</f>
        <v/>
      </c>
      <c r="H28" s="931"/>
      <c r="I28" s="935"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28" s="936" t="str">
        <f>IF(Table6b[[#This Row],[Total Area]]="","",Table6b[[#This Row],[Total Area]]*Table6b[[#This Row],[ENERGY STAR Requirement
U-FACTOR]])</f>
        <v/>
      </c>
      <c r="K28" s="971"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28" s="937"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28" s="937" t="str">
        <f t="shared" si="1"/>
        <v/>
      </c>
      <c r="N28" s="937" t="str">
        <f t="shared" si="2"/>
        <v/>
      </c>
      <c r="O28" s="918"/>
      <c r="P28" s="938"/>
      <c r="Q28" s="937" t="str">
        <f>IF(Table6b[[#This Row],[Total Area]]="","",Table6b[[#This Row],[Total Area]]*Table6b[[#This Row],[ASSEMBLY
U-FACTOR]])</f>
        <v/>
      </c>
      <c r="R28" s="938"/>
      <c r="S28" s="939"/>
      <c r="T28" s="940"/>
      <c r="U28" s="940"/>
      <c r="V28" s="941"/>
      <c r="X28" s="637"/>
      <c r="Y28" s="638"/>
      <c r="Z28" s="639"/>
      <c r="AA28" s="640"/>
      <c r="AB28" s="640"/>
    </row>
    <row r="29" spans="1:28" s="614" customFormat="1" x14ac:dyDescent="0.3">
      <c r="B29" s="930"/>
      <c r="C29" s="931"/>
      <c r="D29" s="932"/>
      <c r="E29" s="930"/>
      <c r="F29" s="930"/>
      <c r="G29" s="968" t="str">
        <f>IF(Table6b[[#This Row],[Qty]]="","",Table6b[[#This Row],[Qty]]*Table6b[[#This Row],[Area]])</f>
        <v/>
      </c>
      <c r="H29" s="931"/>
      <c r="I29" s="935"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29" s="936" t="str">
        <f>IF(Table6b[[#This Row],[Total Area]]="","",Table6b[[#This Row],[Total Area]]*Table6b[[#This Row],[ENERGY STAR Requirement
U-FACTOR]])</f>
        <v/>
      </c>
      <c r="K29" s="971"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29" s="937"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29" s="937" t="str">
        <f t="shared" si="1"/>
        <v/>
      </c>
      <c r="N29" s="937" t="str">
        <f t="shared" si="2"/>
        <v/>
      </c>
      <c r="O29" s="918"/>
      <c r="P29" s="938"/>
      <c r="Q29" s="937" t="str">
        <f>IF(Table6b[[#This Row],[Total Area]]="","",Table6b[[#This Row],[Total Area]]*Table6b[[#This Row],[ASSEMBLY
U-FACTOR]])</f>
        <v/>
      </c>
      <c r="R29" s="938"/>
      <c r="S29" s="939"/>
      <c r="T29" s="942"/>
      <c r="U29" s="940"/>
      <c r="V29" s="941"/>
      <c r="X29" s="637"/>
      <c r="Y29" s="638"/>
      <c r="Z29" s="639"/>
      <c r="AA29" s="640"/>
      <c r="AB29" s="640"/>
    </row>
    <row r="30" spans="1:28" s="614" customFormat="1" x14ac:dyDescent="0.3">
      <c r="B30" s="930"/>
      <c r="C30" s="931"/>
      <c r="D30" s="932"/>
      <c r="E30" s="930"/>
      <c r="F30" s="930"/>
      <c r="G30" s="972" t="str">
        <f>IF(Table6b[[#This Row],[Qty]]="","",Table6b[[#This Row],[Qty]]*Table6b[[#This Row],[Area]])</f>
        <v/>
      </c>
      <c r="H30" s="931"/>
      <c r="I30" s="935"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30" s="936" t="str">
        <f>IF(Table6b[[#This Row],[Total Area]]="","",Table6b[[#This Row],[Total Area]]*Table6b[[#This Row],[ENERGY STAR Requirement
U-FACTOR]])</f>
        <v/>
      </c>
      <c r="K30" s="971"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30" s="937"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30" s="937" t="str">
        <f t="shared" si="1"/>
        <v/>
      </c>
      <c r="N30" s="937" t="str">
        <f t="shared" si="2"/>
        <v/>
      </c>
      <c r="O30" s="918"/>
      <c r="P30" s="938"/>
      <c r="Q30" s="937" t="str">
        <f>IF(Table6b[[#This Row],[Total Area]]="","",Table6b[[#This Row],[Total Area]]*Table6b[[#This Row],[ASSEMBLY
U-FACTOR]])</f>
        <v/>
      </c>
      <c r="R30" s="938"/>
      <c r="S30" s="939"/>
      <c r="T30" s="942"/>
      <c r="U30" s="940"/>
      <c r="V30" s="941"/>
      <c r="X30" s="637"/>
      <c r="Y30" s="638"/>
      <c r="Z30" s="639"/>
      <c r="AA30" s="640"/>
      <c r="AB30" s="640"/>
    </row>
    <row r="31" spans="1:28" s="614" customFormat="1" x14ac:dyDescent="0.3">
      <c r="B31" s="930"/>
      <c r="C31" s="931"/>
      <c r="D31" s="932"/>
      <c r="E31" s="930"/>
      <c r="F31" s="930"/>
      <c r="G31" s="972" t="str">
        <f>IF(Table6b[[#This Row],[Qty]]="","",Table6b[[#This Row],[Qty]]*Table6b[[#This Row],[Area]])</f>
        <v/>
      </c>
      <c r="H31" s="931"/>
      <c r="I31" s="935"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31" s="936" t="str">
        <f>IF(Table6b[[#This Row],[Total Area]]="","",Table6b[[#This Row],[Total Area]]*Table6b[[#This Row],[ENERGY STAR Requirement
U-FACTOR]])</f>
        <v/>
      </c>
      <c r="K31" s="971"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31" s="937"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31" s="937" t="str">
        <f t="shared" si="1"/>
        <v/>
      </c>
      <c r="N31" s="937" t="str">
        <f t="shared" si="2"/>
        <v/>
      </c>
      <c r="O31" s="918"/>
      <c r="P31" s="938"/>
      <c r="Q31" s="937" t="str">
        <f>IF(Table6b[[#This Row],[Total Area]]="","",Table6b[[#This Row],[Total Area]]*Table6b[[#This Row],[ASSEMBLY
U-FACTOR]])</f>
        <v/>
      </c>
      <c r="R31" s="938"/>
      <c r="S31" s="939"/>
      <c r="T31" s="942"/>
      <c r="U31" s="940"/>
      <c r="V31" s="941"/>
      <c r="X31" s="637"/>
      <c r="Y31" s="638"/>
      <c r="Z31" s="639"/>
      <c r="AA31" s="640"/>
      <c r="AB31" s="640"/>
    </row>
    <row r="32" spans="1:28" s="614" customFormat="1" ht="13.8" thickBot="1" x14ac:dyDescent="0.35">
      <c r="B32" s="946"/>
      <c r="C32" s="973"/>
      <c r="D32" s="948"/>
      <c r="E32" s="946"/>
      <c r="F32" s="946"/>
      <c r="G32" s="974" t="str">
        <f>IF(Table6b[[#This Row],[Qty]]="","",Table6b[[#This Row],[Qty]]*Table6b[[#This Row],[Area]])</f>
        <v/>
      </c>
      <c r="H32" s="947"/>
      <c r="I32" s="951" t="str">
        <f>IFERROR(IF(AND($C$9="Version 1.2 OR+WA",OR($C$8="CZ 1",$C$8="CZ 2",$C$8="CZ 3",$C$8="CZ 4",$C$8="CZ 7",$C$8="CZ 8")),"N/A - Update CZ",
IF(AND($C$9="Version 1",OR($C$7="ERI",$C$7="Title 24 - Dwelling Unit Models",$C$7="Prescriptive")),INDEX([2]!ESRefDesign_FenestrationAW_V1[#All],Table6b[[#This Row],[WindowFrame_UIndex]],Table6b[[#This Row],[CZ_Index]]),
IF(AND($C$9="Version 1.1",OR($C$7="ERI",$C$7="Title 24 - Dwelling Unit Models",$C$7="Prescriptive")),INDEX([2]!ESRefDesign_FenestrationAW_V11[#All],Table6b[[#This Row],[WindowFrame_UIndex]],Table6b[[#This Row],[CZ_Index]]),
IF(AND($C$9="Version 1.2 OR+WA",OR($C$7="ERI",$C$7="Title 24 - Dwelling Unit Models",$C$7="Prescriptive")),INDEX([2]!ESRefDesign_FenestrationAW_V12[#All],Table6b[[#This Row],[WindowFrame_UIndex]],Table6b[[#This Row],[CZ_Index]]),
IF(OR($C$7="ASHRAE",$C$7="Title 24 - Whole Building Models"),INDEX([2]!IECC2009_Fenestration_AW_Windows[#All],Table6b[[#This Row],[WindowFrame_UIndex]],Table6b[[#This Row],[CZ_Index]]),
""))))),"")</f>
        <v/>
      </c>
      <c r="J32" s="952" t="str">
        <f>IF(Table6b[[#This Row],[Total Area]]="","",Table6b[[#This Row],[Total Area]]*Table6b[[#This Row],[ENERGY STAR Requirement
U-FACTOR]])</f>
        <v/>
      </c>
      <c r="K32" s="975" t="str">
        <f>IFERROR(IF(Table6b[[#This Row],[ID]]="","",
IF(AND(Table6b[[#This Row],[PROJECTION FACTOR (PF)
(ASHRAE only)]]="",Table6b[[#This Row],[ID]]&lt;&gt;"",OR($C$7="ASHRAE",$C$7="Title 24 - Whole Building Models")),"Enter PF",
IF(AND($C$9="Version 1.2 OR+WA",OR($C$8="CZ 1",$C$8="CZ 2",$C$8="CZ 3",$C$8="CZ 4",$C$8="CZ 7",$C$8="CZ 8")),"N/A - Update CZ",
IF(AND($C$9="Version 1",OR($C$7="ERI",$C$7="Title 24 - Dwelling Unit Models",$C$7="Prescriptive")),INDEX([2]!ESRefDesign_FenestrationAW_V1[#All],Table6b[[#This Row],[WindowFrame_SHGCIndex]],Table6b[[#This Row],[CZ_Index]]),
IF(AND($C$9="Version 1.1",OR($C$7="ERI",$C$7="Title 24 - Dwelling Unit Models",$C$7="Prescriptive")),INDEX([2]!ESRefDesign_FenestrationAW_V11[#All],Table6b[[#This Row],[WindowFrame_SHGCIndex]],Table6b[[#This Row],[CZ_Index]]),
IF(AND($C$9="Version 1.2 OR+WA",OR($C$7="ERI",$C$7="Title 24 - Dwelling Unit Models",$C$7="Prescriptive")),INDEX([2]!ESRefDesign_FenestrationAW_V12[#All],Table6b[[#This Row],[WindowFrame_SHGCIndex]],Table6b[[#This Row],[CZ_Index]]),
IF(OR($C$7="ASHRAE",$C$7="Title 24 - Whole Building Models"),INDEX([2]!IECC2009_Fenestration_AW_Windows[#All],Table6b[[#This Row],[WindowFrame_SHGCIndex]],Table6b[[#This Row],[CZ_Index]]),
""))))))),"")</f>
        <v/>
      </c>
      <c r="L32" s="954" t="str">
        <f>IF(AND(OR($C$7="Prescriptive",$C$7="ERI",$C$7="Title 24 - Dwelling Unit Models"),Table6b[[#This Row],[Fixed or Operable?
(ERI &amp; Prescriptive Only)]]="Fixed"),2,
IF(AND(OR($C$7="Prescriptive",$C$7="ERI",$C$7="Title 24 - Dwelling Unit Models"),Table6b[[#This Row],[Fixed or Operable?
(ERI &amp; Prescriptive Only)]]="Operable"),3,
IF(AND(OR($C$7="ASHRAE",$C$7="Title 24 - Whole Building Models"),Table6b[[#This Row],[Window Frame
(ASHRAE only)]]="Non-Metal"),2,
IF(AND(OR($C$7="ASHRAE",$C$7="Title 24 - Whole Building Models"),Table6b[[#This Row],[Window Frame
(ASHRAE only)]]="Metal - Curtainwall/storefront"),3,
IF(AND(OR($C$7="ASHRAE",$C$7="Title 24 - Whole Building Models"),Table6b[[#This Row],[Window Frame
(ASHRAE only)]]="Metal - Entrance door"),4,
IF(AND(OR($C$7="ASHRAE",$C$7="Title 24 - Whole Building Models"),Table6b[[#This Row],[Window Frame
(ASHRAE only)]]="Metal - Other"),5,
""))))))</f>
        <v/>
      </c>
      <c r="M32" s="954" t="str">
        <f t="shared" si="1"/>
        <v/>
      </c>
      <c r="N32" s="954" t="str">
        <f t="shared" si="2"/>
        <v/>
      </c>
      <c r="O32" s="918"/>
      <c r="P32" s="956"/>
      <c r="Q32" s="954" t="str">
        <f>IF(Table6b[[#This Row],[Total Area]]="","",Table6b[[#This Row],[Total Area]]*Table6b[[#This Row],[ASSEMBLY
U-FACTOR]])</f>
        <v/>
      </c>
      <c r="R32" s="956"/>
      <c r="S32" s="957"/>
      <c r="T32" s="958"/>
      <c r="U32" s="959"/>
      <c r="V32" s="960"/>
      <c r="X32" s="669"/>
      <c r="Y32" s="670"/>
      <c r="Z32" s="671"/>
      <c r="AA32" s="640"/>
      <c r="AB32" s="640"/>
    </row>
    <row r="33" spans="1:28" s="349" customFormat="1" ht="13.8" hidden="1" thickBot="1" x14ac:dyDescent="0.3">
      <c r="F33" s="349">
        <f>SUM(Table6b[Area])</f>
        <v>0</v>
      </c>
      <c r="G33" s="349">
        <f>SUM(Table6b[Total Area])</f>
        <v>0</v>
      </c>
      <c r="J33" s="963">
        <f>SUM(Table6b[ENERGY STAR Requirement UA])</f>
        <v>0</v>
      </c>
      <c r="K33" s="976"/>
      <c r="Q33" s="349">
        <f>SUM(Table6b[Total UA])</f>
        <v>0</v>
      </c>
      <c r="X33" s="965"/>
      <c r="Y33" s="965"/>
      <c r="Z33" s="965"/>
      <c r="AA33" s="965"/>
      <c r="AB33" s="965"/>
    </row>
    <row r="34" spans="1:28" ht="13.8" thickBot="1" x14ac:dyDescent="0.3">
      <c r="D34" s="966" t="s">
        <v>1266</v>
      </c>
      <c r="E34" s="1844" t="str">
        <f>IFERROR(SUM(Table6b[Total UA])/SUM(Table6b[Total Area]),"")</f>
        <v/>
      </c>
      <c r="F34" s="1845"/>
      <c r="J34" s="963"/>
      <c r="K34" s="602"/>
      <c r="X34" s="604"/>
      <c r="Y34" s="604"/>
      <c r="Z34" s="604"/>
      <c r="AA34" s="604"/>
      <c r="AB34" s="604"/>
    </row>
    <row r="35" spans="1:28" ht="12.6" customHeight="1" x14ac:dyDescent="0.25">
      <c r="J35" s="963"/>
      <c r="K35" s="602"/>
      <c r="L35" s="601"/>
      <c r="W35" s="695"/>
      <c r="X35" s="1738" t="s">
        <v>1158</v>
      </c>
      <c r="Y35" s="1739"/>
      <c r="Z35" s="1740"/>
      <c r="AA35" s="604"/>
      <c r="AB35" s="604"/>
    </row>
    <row r="36" spans="1:28" ht="12.9" customHeight="1" thickBot="1" x14ac:dyDescent="0.3">
      <c r="B36" s="349" t="s">
        <v>1272</v>
      </c>
      <c r="C36" s="601"/>
      <c r="D36" s="601"/>
      <c r="I36" s="601"/>
      <c r="K36" s="601"/>
      <c r="L36" s="601" t="s">
        <v>1247</v>
      </c>
      <c r="M36" s="601" t="s">
        <v>1247</v>
      </c>
      <c r="N36" s="601" t="s">
        <v>1247</v>
      </c>
      <c r="W36" s="695"/>
      <c r="X36" s="1744"/>
      <c r="Y36" s="1745"/>
      <c r="Z36" s="1746"/>
      <c r="AA36" s="604"/>
      <c r="AB36" s="604"/>
    </row>
    <row r="37" spans="1:28" ht="50.25" customHeight="1" thickBot="1" x14ac:dyDescent="0.35">
      <c r="A37"/>
      <c r="B37" s="914" t="s">
        <v>1248</v>
      </c>
      <c r="C37" s="841" t="s">
        <v>1273</v>
      </c>
      <c r="D37" s="840" t="s">
        <v>1274</v>
      </c>
      <c r="E37" s="914" t="s">
        <v>1251</v>
      </c>
      <c r="F37" s="914" t="s">
        <v>1252</v>
      </c>
      <c r="G37" s="914" t="s">
        <v>1253</v>
      </c>
      <c r="H37" s="915" t="s">
        <v>1275</v>
      </c>
      <c r="I37" s="841" t="s">
        <v>1255</v>
      </c>
      <c r="J37" s="841" t="s">
        <v>1256</v>
      </c>
      <c r="K37" s="841" t="s">
        <v>1257</v>
      </c>
      <c r="L37" s="915" t="s">
        <v>1276</v>
      </c>
      <c r="M37" s="915" t="s">
        <v>1277</v>
      </c>
      <c r="N37" s="915" t="s">
        <v>1260</v>
      </c>
      <c r="O37" s="915" t="s">
        <v>1271</v>
      </c>
      <c r="P37" s="915" t="s">
        <v>1262</v>
      </c>
      <c r="Q37" s="915" t="s">
        <v>1263</v>
      </c>
      <c r="R37" s="915" t="s">
        <v>1264</v>
      </c>
      <c r="S37" s="841" t="s">
        <v>1231</v>
      </c>
      <c r="T37" s="841" t="s">
        <v>1232</v>
      </c>
      <c r="U37" s="841" t="s">
        <v>1233</v>
      </c>
      <c r="V37" s="842" t="s">
        <v>1234</v>
      </c>
      <c r="X37" s="977"/>
      <c r="Y37" s="978"/>
      <c r="Z37" s="979"/>
      <c r="AA37" s="604"/>
      <c r="AB37" s="604"/>
    </row>
    <row r="38" spans="1:28" s="614" customFormat="1" x14ac:dyDescent="0.3">
      <c r="B38" s="917"/>
      <c r="C38" s="918"/>
      <c r="D38" s="918"/>
      <c r="E38" s="926"/>
      <c r="F38" s="926"/>
      <c r="G38" s="925" t="str">
        <f>IF(Table6c[[#This Row],[Qty]]="","",Table6c[[#This Row],[Qty]]*Table6c[[#This Row],[Area]])</f>
        <v/>
      </c>
      <c r="H38" s="927"/>
      <c r="I38" s="935" t="str">
        <f>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f>
        <v/>
      </c>
      <c r="J38" s="969" t="str">
        <f>IF(Table6c[[#This Row],[Total Area]]="","",Table6c[[#This Row],[Total Area]]*Table6c[[#This Row],[ENERGY STAR Requirement
U-FACTOR]])</f>
        <v/>
      </c>
      <c r="K38" s="970" t="str">
        <f>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f>
        <v/>
      </c>
      <c r="L38" s="980" t="str">
        <f>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f>
        <v/>
      </c>
      <c r="M38" s="925" t="str">
        <f>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f>
        <v/>
      </c>
      <c r="N38" s="925" t="str">
        <f>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f>
        <v/>
      </c>
      <c r="O38" s="918"/>
      <c r="P38" s="917"/>
      <c r="Q38" s="925" t="str">
        <f>IF(Table6c[[#This Row],[Total Area]]="","",Table6c[[#This Row],[Total Area]]*Table6c[[#This Row],[ASSEMBLY
U-FACTOR]])</f>
        <v/>
      </c>
      <c r="R38" s="926"/>
      <c r="S38" s="927"/>
      <c r="T38" s="928"/>
      <c r="U38" s="928"/>
      <c r="V38" s="929"/>
      <c r="X38" s="637"/>
      <c r="Y38" s="638"/>
      <c r="Z38" s="639"/>
      <c r="AA38" s="640"/>
      <c r="AB38" s="640"/>
    </row>
    <row r="39" spans="1:28" s="614" customFormat="1" x14ac:dyDescent="0.3">
      <c r="B39" s="981"/>
      <c r="C39" s="982"/>
      <c r="D39" s="982"/>
      <c r="E39" s="983"/>
      <c r="F39" s="983"/>
      <c r="G39" s="937" t="str">
        <f>IF(Table6c[[#This Row],[Qty]]="","",Table6c[[#This Row],[Qty]]*Table6c[[#This Row],[Area]])</f>
        <v/>
      </c>
      <c r="H39" s="939"/>
      <c r="I39" s="935" t="str">
        <f>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f>
        <v/>
      </c>
      <c r="J39" s="936" t="str">
        <f>IF(Table6c[[#This Row],[Total Area]]="","",Table6c[[#This Row],[Total Area]]*Table6c[[#This Row],[ENERGY STAR Requirement
U-FACTOR]])</f>
        <v/>
      </c>
      <c r="K39" s="984" t="str">
        <f>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f>
        <v/>
      </c>
      <c r="L39" s="937" t="str">
        <f>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f>
        <v/>
      </c>
      <c r="M39" s="937" t="str">
        <f>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f>
        <v/>
      </c>
      <c r="N39" s="937" t="str">
        <f>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f>
        <v/>
      </c>
      <c r="O39" s="918"/>
      <c r="P39" s="981"/>
      <c r="Q39" s="937" t="str">
        <f>IF(Table6c[[#This Row],[Total Area]]="","",Table6c[[#This Row],[Total Area]]*Table6c[[#This Row],[ASSEMBLY
U-FACTOR]])</f>
        <v/>
      </c>
      <c r="R39" s="983"/>
      <c r="S39" s="939"/>
      <c r="T39" s="940"/>
      <c r="U39" s="940"/>
      <c r="V39" s="985"/>
      <c r="X39" s="637"/>
      <c r="Y39" s="638"/>
      <c r="Z39" s="639"/>
      <c r="AA39" s="640"/>
      <c r="AB39" s="640"/>
    </row>
    <row r="40" spans="1:28" s="614" customFormat="1" x14ac:dyDescent="0.3">
      <c r="B40" s="981"/>
      <c r="C40" s="982"/>
      <c r="D40" s="982"/>
      <c r="E40" s="983"/>
      <c r="F40" s="983"/>
      <c r="G40" s="937" t="str">
        <f>IF(Table6c[[#This Row],[Qty]]="","",Table6c[[#This Row],[Qty]]*Table6c[[#This Row],[Area]])</f>
        <v/>
      </c>
      <c r="H40" s="939"/>
      <c r="I40" s="935" t="str">
        <f>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f>
        <v/>
      </c>
      <c r="J40" s="936" t="str">
        <f>IF(Table6c[[#This Row],[Total Area]]="","",Table6c[[#This Row],[Total Area]]*Table6c[[#This Row],[ENERGY STAR Requirement
U-FACTOR]])</f>
        <v/>
      </c>
      <c r="K40" s="984" t="str">
        <f>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f>
        <v/>
      </c>
      <c r="L40" s="937" t="str">
        <f>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f>
        <v/>
      </c>
      <c r="M40" s="937" t="str">
        <f>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f>
        <v/>
      </c>
      <c r="N40" s="937" t="str">
        <f>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f>
        <v/>
      </c>
      <c r="O40" s="918"/>
      <c r="P40" s="981"/>
      <c r="Q40" s="937" t="str">
        <f>IF(Table6c[[#This Row],[Total Area]]="","",Table6c[[#This Row],[Total Area]]*Table6c[[#This Row],[ASSEMBLY
U-FACTOR]])</f>
        <v/>
      </c>
      <c r="R40" s="983"/>
      <c r="S40" s="939"/>
      <c r="T40" s="940"/>
      <c r="U40" s="940"/>
      <c r="V40" s="985"/>
      <c r="X40" s="637"/>
      <c r="Y40" s="638"/>
      <c r="Z40" s="639"/>
      <c r="AA40" s="640"/>
      <c r="AB40" s="640"/>
    </row>
    <row r="41" spans="1:28" s="614" customFormat="1" x14ac:dyDescent="0.3">
      <c r="B41" s="981"/>
      <c r="C41" s="982"/>
      <c r="D41" s="982"/>
      <c r="E41" s="983"/>
      <c r="F41" s="983"/>
      <c r="G41" s="937" t="str">
        <f>IF(Table6c[[#This Row],[Qty]]="","",Table6c[[#This Row],[Qty]]*Table6c[[#This Row],[Area]])</f>
        <v/>
      </c>
      <c r="H41" s="939"/>
      <c r="I41" s="935" t="str">
        <f>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f>
        <v/>
      </c>
      <c r="J41" s="936" t="str">
        <f>IF(Table6c[[#This Row],[Total Area]]="","",Table6c[[#This Row],[Total Area]]*Table6c[[#This Row],[ENERGY STAR Requirement
U-FACTOR]])</f>
        <v/>
      </c>
      <c r="K41" s="984" t="str">
        <f>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f>
        <v/>
      </c>
      <c r="L41" s="937" t="str">
        <f>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f>
        <v/>
      </c>
      <c r="M41" s="937" t="str">
        <f>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f>
        <v/>
      </c>
      <c r="N41" s="937" t="str">
        <f>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f>
        <v/>
      </c>
      <c r="O41" s="918"/>
      <c r="P41" s="981"/>
      <c r="Q41" s="937" t="str">
        <f>IF(Table6c[[#This Row],[Total Area]]="","",Table6c[[#This Row],[Total Area]]*Table6c[[#This Row],[ASSEMBLY
U-FACTOR]])</f>
        <v/>
      </c>
      <c r="R41" s="983"/>
      <c r="S41" s="939"/>
      <c r="T41" s="940"/>
      <c r="U41" s="940"/>
      <c r="V41" s="985"/>
      <c r="X41" s="637"/>
      <c r="Y41" s="638"/>
      <c r="Z41" s="639"/>
      <c r="AA41" s="640"/>
      <c r="AB41" s="640"/>
    </row>
    <row r="42" spans="1:28" s="614" customFormat="1" ht="13.8" thickBot="1" x14ac:dyDescent="0.35">
      <c r="B42" s="986"/>
      <c r="C42" s="987"/>
      <c r="D42" s="987"/>
      <c r="E42" s="988"/>
      <c r="F42" s="988"/>
      <c r="G42" s="954" t="str">
        <f>IF(Table6c[[#This Row],[Qty]]="","",Table6c[[#This Row],[Qty]]*Table6c[[#This Row],[Area]])</f>
        <v/>
      </c>
      <c r="H42" s="957"/>
      <c r="I42" s="935" t="str">
        <f>IFERROR(IF(AND($C$9="Version 1.2 OR+WA",OR($C$8="CZ 1",$C$8="CZ 2",$C$8="CZ 3",$C$8="CZ 4",$C$8="CZ 7",$C$8="CZ 8")),"N/A - Update CZ",
IF(AND(Table6c[[#This Row],[Dwelling/ Common?]]="Common",Table6c[[#This Row],[Door Type]]="Opaque Door",OR($C$8="CZ 1",$C$8="CZ 2",$C$8="CZ 3",$C$8="CZ 4",$C$8="CZ 4 C",$C$8="CZ 5",$C$8="CZ 6")),0.7,
IF(AND(Table6c[[#This Row],[Dwelling/ Common?]]="Common",Table6c[[#This Row],[Door Type]]="Opaque Door",OR($C$8="CZ 7",$C$8="CZ 8")),0.5,
IF(AND(Table6c[[#This Row],[Dwelling/ Common?]]="Common",$C$9="Version 1",OR($C$7="Prescriptive",$C$7="ERI",$C$7="Title 24 - Dwelling Unit Models")),INDEX([2]!ESRefDesign_FenestrationAW_V1[#All],Table6c[[#This Row],[Door Type_Uindex]],Table6c[[#This Row],[CZ_Index]]),
IF(AND(Table6c[[#This Row],[Dwelling/ Common?]]="Common",$C$9="Version 1.1",OR($C$7="Prescriptive",$C$7="ERI",$C$7="Title 24 - Dwelling Unit Models")),INDEX([2]!ESRefDesign_FenestrationAW_V11[#All],Table6c[[#This Row],[Door Type_Uindex]],Table6c[[#This Row],[CZ_Index]]),
IF(AND(Table6c[[#This Row],[Dwelling/ Common?]]="Common",$C$9="Version 1.2 OR+WA",OR($C$7="Prescriptive",$C$7="ERI",$C$7="Title 24 - Dwelling Unit Models")),INDEX([2]!ESRefDesign_FenestrationAW_V12[#All],Table6c[[#This Row],[Door Type_Uindex]],Table6c[[#This Row],[CZ_Index]]),
IF(AND(Table6c[[#This Row],[Dwelling/ Common?]]="Common",OR($C$7="ASHRAE",$C$7="Title 24 - Whole Building Models")),INDEX([2]!IECC2009_Fenestration_AW_Windows[#All],Table6c[[#This Row],[Door Type_Uindex]],Table6c[[#This Row],[CZ_Index]]),
IF(AND(Table6c[[#This Row],[Dwelling/ Common?]]="Dwelling",$C$7="Prescriptive",$C$9="Version 1"),INDEX([2]!ESRefDesign_Fenestration_V1[#All],Table6c[[#This Row],[Door Type_Uindex]],Table6c[[#This Row],[CZ_Index]]),
IF(AND(Table6c[[#This Row],[Dwelling/ Common?]]="Dwelling",$C$7="Prescriptive",$C$9="Version 1.1"),INDEX([2]!ESRefDesign_Fenestration_V11[#All],Table6c[[#This Row],[Door Type_Uindex]],Table6c[[#This Row],[CZ_Index]]),
IF(AND(Table6c[[#This Row],[Dwelling/ Common?]]="Dwelling",$C$7="Prescriptive",$C$9="Version 1.2 OR+WA"),INDEX([2]!ESRefDesign_Fenestration_V12[#All],Table6c[[#This Row],[Door Type_Uindex]],Table6c[[#This Row],[CZ_Index]]),
IF(Table6c[[#This Row],[Dwelling/ Common?]]="Dwelling",INDEX([2]!IECC2009_Fenestration_NotAW_Windows[#All],Table6c[[#This Row],[Door Type_Uindex]],Table6c[[#This Row],[CZ_Index]]),
""))))))))))),"")</f>
        <v/>
      </c>
      <c r="J42" s="989" t="str">
        <f>IF(Table6c[[#This Row],[Total Area]]="","",Table6c[[#This Row],[Total Area]]*Table6c[[#This Row],[ENERGY STAR Requirement
U-FACTOR]])</f>
        <v/>
      </c>
      <c r="K42" s="990" t="str">
        <f>IFERROR(IF(AND($C$9="Version 1.2 OR+WA",OR($C$8="CZ 1",$C$8="CZ 2",$C$8="CZ 3",$C$8="CZ 4",$C$8="CZ 7",$C$8="CZ 8")),"N/A - Update CZ",
IF(Table6c[[#This Row],[Door Type]]="Opaque Door","Any",
IF(AND(Table6c[[#This Row],[PROJECTION FACTOR (PF)
(ASHRAE only)]]="",OR($C$7="ASHRAE",$C$7="Title 24 - Whole Building Models"),Table6c[[#This Row],[Dwelling/ Common?]]="Common"),"Enter PF",
IF(AND(Table6c[[#This Row],[Dwelling/ Common?]]="Common",$C$9="Version 1",OR($C$7="Prescriptive",$C$7="ERI",$C$7="Title 24 - Dwelling Unit Models")),INDEX([2]!ESRefDesign_FenestrationAW_V1[#All],Table6c[[#This Row],[Door Type_SHGCIndex]],Table6c[[#This Row],[CZ_Index]]),
IF(AND(Table6c[[#This Row],[Dwelling/ Common?]]="Common",$C$9="Version 1.1",OR($C$7="Prescriptive",$C$7="ERI",$C$7="Title 24 - Dwelling Unit Models")),INDEX([2]!ESRefDesign_FenestrationAW_V11[#All],Table6c[[#This Row],[Door Type_SHGCIndex]],Table6c[[#This Row],[CZ_Index]]),
IF(AND(Table6c[[#This Row],[Dwelling/ Common?]]="Common",$C$9="Version 1.2 OR+WA",OR($C$7="Prescriptive",$C$7="ERI",$C$7="Title 24 - Dwelling Unit Models")),INDEX([2]!ESRefDesign_FenestrationAW_V12[#All],Table6c[[#This Row],[Door Type_SHGCIndex]],Table6c[[#This Row],[CZ_Index]]),
IF(AND(Table6c[[#This Row],[Dwelling/ Common?]]="Common",OR($C$7="ASHRAE",$C$7="Title 24 - Whole Building Models")),INDEX([2]!IECC2009_Fenestration_AW_Windows[#All],Table6c[[#This Row],[Door Type_SHGCIndex]],Table6c[[#This Row],[CZ_Index]]),
IF(AND(Table6c[[#This Row],[Dwelling/ Common?]]="Dwelling",$C$7="Prescriptive",$C$9="Version 1"),INDEX([2]!ESRefDesign_Fenestration_V1[#All],Table6c[[#This Row],[Door Type_SHGCIndex]],Table6c[[#This Row],[CZ_Index]]),
IF(AND(Table6c[[#This Row],[Dwelling/ Common?]]="Dwelling",$C$7="Prescriptive",$C$9="Version 1.1"),INDEX([2]!ESRefDesign_Fenestration_V11[#All],Table6c[[#This Row],[Door Type_SHGCIndex]],Table6c[[#This Row],[CZ_Index]]),
IF(AND(Table6c[[#This Row],[Dwelling/ Common?]]="Dwelling",$C$7="Prescriptive",$C$9="Version 1.2 OR+WA"),INDEX([2]!ESRefDesign_Fenestration_V12[#All],Table6c[[#This Row],[Door Type_SHGCIndex]],Table6c[[#This Row],[CZ_Index]]),
IF(Table6c[[#This Row],[Dwelling/ Common?]]="Dwelling",INDEX([2]!IECC2009_Fenestration_NotAW_Windows[#All],Table6c[[#This Row],[Door Type_SHGCIndex]],Table6c[[#This Row],[CZ_Index]]),
""))))))))))),"")</f>
        <v/>
      </c>
      <c r="L42" s="954" t="str">
        <f>IF(AND(Table6c[[#This Row],[Door Type]]="Opaque Door",Table6c[[#This Row],[Dwelling/ Common?]]="Common"),"N/A",
IF(AND(Table6c[[#This Row],[Dwelling/ Common?]]="Common",OR($C$7="Prescriptive",$C$7="ERI",$C$7="Title 24 - Dwelling Unit Models")),3,
IF(AND(Table6c[[#This Row],[Dwelling/ Common?]]="Common",OR($C$7="ASHRAE",$C$7="Title 24 - Whole Building Models")),4,
IF(AND(Table6c[[#This Row],[Dwelling/ Common?]]="Dwelling",OR($C$7="ASHRAE",$C$7="Title 24 - Whole Building Models",$C$7="ERI",$C$7="Title 24 - Dwelling Unit Models")),2,
IF(Table6c[[#This Row],[Door Type]]="≤½ Lite Door",5,
IF(Table6c[[#This Row],[Door Type]]="&gt;½ Lite Door",6,
IF(AND(Table6c[[#This Row],[Door Type]]="Glazed Entrance Door",$C$7="Prescriptive"),6,
IF(Table6c[[#This Row],[Door Type]]="Glazed Entrance Door",4,
IF(AND(Table6c[[#This Row],[Door Type]]="Opaque Door",Table6c[[#This Row],[Dwelling/ Common?]]="Dwelling"),4,
"")))))))))</f>
        <v/>
      </c>
      <c r="M42" s="954" t="str">
        <f>IF(Table6c[[#This Row],[Door Type]]="Opaque Door","N/A",
IF(AND(Table6c[[#This Row],[Dwelling/ Common?]]="Common",OR($C$7="Prescriptive",$C$7="ERI",$C$7="Title 24 - Dwelling Unit Models")),4,
IF(AND(Table6c[[#This Row],[Dwelling/ Common?]]="Common",OR($C$7="ASHRAE",$C$7="Title 24 - Whole Building Models"),Table6c[[#This Row],[PROJECTION FACTOR (PF)
(ASHRAE only)]]="&lt; 0.25"),7,
IF(AND(Table6c[[#This Row],[Dwelling/ Common?]]="Common",OR($C$7="ASHRAE",$C$7="Title 24 - Whole Building Models"),Table6c[[#This Row],[PROJECTION FACTOR (PF)
(ASHRAE only)]]="0.25 &lt; PF &lt; 0.5"),8,
IF(AND(Table6c[[#This Row],[Dwelling/ Common?]]="Common",OR($C$7="ASHRAE",$C$7="Title 24 - Whole Building Models"),Table6c[[#This Row],[PROJECTION FACTOR (PF)
(ASHRAE only)]]="&gt;= 0.5"),9,
IF(AND(Table6c[[#This Row],[Dwelling/ Common?]]="Dwelling",OR($C$7="ASHRAE",$C$7="Title 24 - Whole Building Models",$C$7="ERI",$C$7="Title 24 - Dwelling Unit Models")),4,
IF(Table6c[[#This Row],[Door Type]]="≤½ Lite Door",8,
IF(Table6c[[#This Row],[Door Type]]="&gt;½ Lite Door",9,
IF(AND(Table6c[[#This Row],[Door Type]]="Glazed Entrance Door",$C$7="Prescriptive"),9,
IF(Table6c[[#This Row],[Door Type]]="Glazed Entrance Door",7,
IF(AND(Table6c[[#This Row],[Door Type]]="Opaque Door",Table6c[[#This Row],[Dwelling/ Common?]]="Dwelling"),7,
"")))))))))))</f>
        <v/>
      </c>
      <c r="N42" s="954" t="str">
        <f>IF(AND($C$9="Version 1.2 OR+WA",$C$7="Prescriptive",$C$8="CZ 4 C"),2,
IF(AND($C$9="Version 1.2 OR+WA",$C$7="Prescriptive",$C$8="CZ 5"),3,
IF(AND($C$9="Version 1.2 OR+WA",$C$7="Prescriptive",$C$8="CZ 6"),4,
IF(AND($C$9="Version 1.2 OR+WA",Table6c[[#This Row],[Dwelling/ Common?]]="Common",OR($C$7="ERI",$C$7="Title 24 - Dwelling Unit Models"),$C$8="CZ 4 C"),2,
IF(AND($C$9="Version 1.2 OR+WA",Table6c[[#This Row],[Dwelling/ Common?]]="Common",OR($C$7="ERI",$C$7="Title 24 - Dwelling Unit Models"),$C$8="CZ 5"),3,
IF(AND($C$9="Version 1.2 OR+WA",Table6c[[#This Row],[Dwelling/ Common?]]="Common",OR($C$7="ERI",$C$7="Title 24 - Dwelling Unit Models"),$C$8="CZ 6"),4,
IF($C$8="CZ 1",2,
IF($C$8="CZ 2",3,
IF($C$8="CZ 3",4,
IF($C$8="CZ 4",5,
IF($C$8="CZ 4 C",6,
IF($C$8="CZ 5",7,
IF($C$8="CZ 6",8,
IF($C$8="CZ 7",9,
IF($C$8="CZ 8",10,"")))))))))))))))</f>
        <v/>
      </c>
      <c r="O42" s="918"/>
      <c r="P42" s="986"/>
      <c r="Q42" s="954" t="str">
        <f>IF(Table6c[[#This Row],[Total Area]]="","",Table6c[[#This Row],[Total Area]]*Table6c[[#This Row],[ASSEMBLY
U-FACTOR]])</f>
        <v/>
      </c>
      <c r="R42" s="988"/>
      <c r="S42" s="957"/>
      <c r="T42" s="959"/>
      <c r="U42" s="959"/>
      <c r="V42" s="991"/>
      <c r="X42" s="669"/>
      <c r="Y42" s="670"/>
      <c r="Z42" s="671"/>
      <c r="AA42" s="640"/>
      <c r="AB42" s="640"/>
    </row>
    <row r="43" spans="1:28" s="349" customFormat="1" ht="13.8" hidden="1" thickBot="1" x14ac:dyDescent="0.3">
      <c r="F43" s="349">
        <f>SUM(Table6c[Area])</f>
        <v>0</v>
      </c>
      <c r="G43" s="349">
        <f>SUM(Table6c[Total Area])</f>
        <v>0</v>
      </c>
      <c r="J43" s="349">
        <f>SUM(Table6c[ENERGY STAR Requirement UA])</f>
        <v>0</v>
      </c>
      <c r="Q43" s="349">
        <f>SUM(Table6c[Total UA])</f>
        <v>0</v>
      </c>
      <c r="X43" s="965"/>
      <c r="Y43" s="965"/>
      <c r="Z43" s="965"/>
      <c r="AA43" s="965"/>
      <c r="AB43" s="965"/>
    </row>
    <row r="44" spans="1:28" ht="13.8" thickBot="1" x14ac:dyDescent="0.3">
      <c r="C44" s="601"/>
      <c r="D44" s="966" t="s">
        <v>1266</v>
      </c>
      <c r="E44" s="1844" t="str">
        <f>IFERROR(SUM(Table6c[Total UA])/SUM(Table6c[Total Area]),"")</f>
        <v/>
      </c>
      <c r="F44" s="1845"/>
      <c r="G44" s="601"/>
      <c r="H44" s="601"/>
      <c r="I44" s="904"/>
      <c r="J44" s="601"/>
      <c r="K44" s="601"/>
      <c r="L44" s="601"/>
      <c r="M44" s="601"/>
      <c r="N44" s="601"/>
      <c r="O44" s="601"/>
      <c r="X44" s="604"/>
      <c r="Y44" s="604"/>
      <c r="Z44" s="604"/>
      <c r="AA44" s="604"/>
      <c r="AB44" s="604"/>
    </row>
    <row r="45" spans="1:28" ht="13.8" thickBot="1" x14ac:dyDescent="0.3">
      <c r="C45" s="601"/>
      <c r="I45" s="601"/>
      <c r="L45" s="601"/>
      <c r="X45" s="604"/>
      <c r="Y45" s="604"/>
      <c r="Z45" s="604"/>
      <c r="AA45" s="604"/>
      <c r="AB45" s="604"/>
    </row>
    <row r="46" spans="1:28" ht="40.65" customHeight="1" thickBot="1" x14ac:dyDescent="0.3">
      <c r="B46" s="1835" t="s">
        <v>1278</v>
      </c>
      <c r="C46" s="1836"/>
      <c r="D46" s="1836"/>
      <c r="E46" s="1836"/>
      <c r="F46" s="1836"/>
      <c r="G46" s="1836"/>
      <c r="H46" s="1836"/>
      <c r="I46" s="1836"/>
      <c r="J46" s="1836"/>
      <c r="K46" s="1836"/>
      <c r="L46" s="1836"/>
      <c r="M46" s="1836"/>
      <c r="N46" s="1836"/>
      <c r="O46" s="1836"/>
      <c r="P46" s="1836"/>
      <c r="Q46" s="1836"/>
      <c r="R46" s="1836"/>
      <c r="S46" s="1836"/>
      <c r="T46" s="1837"/>
      <c r="X46" s="604"/>
      <c r="Y46" s="604"/>
      <c r="Z46" s="604"/>
      <c r="AA46" s="604"/>
      <c r="AB46" s="604"/>
    </row>
    <row r="47" spans="1:28" ht="16.5" customHeight="1" thickBot="1" x14ac:dyDescent="0.3">
      <c r="B47" s="992"/>
      <c r="C47" s="1838" t="s">
        <v>1279</v>
      </c>
      <c r="D47" s="1839"/>
      <c r="E47" s="1839"/>
      <c r="F47" s="1839"/>
      <c r="G47" s="1840"/>
      <c r="H47" s="1838" t="s">
        <v>1280</v>
      </c>
      <c r="I47" s="1839"/>
      <c r="J47" s="1840"/>
      <c r="K47" s="993"/>
      <c r="L47" s="993"/>
      <c r="M47" s="993"/>
      <c r="N47" s="1838" t="s">
        <v>1281</v>
      </c>
      <c r="O47" s="1839"/>
      <c r="P47" s="1840"/>
      <c r="T47" s="994"/>
      <c r="X47" s="604"/>
      <c r="Y47" s="604"/>
      <c r="Z47" s="604"/>
      <c r="AA47" s="604"/>
      <c r="AB47" s="604"/>
    </row>
    <row r="48" spans="1:28" ht="21.9" customHeight="1" thickBot="1" x14ac:dyDescent="0.3">
      <c r="B48" s="995" t="s">
        <v>868</v>
      </c>
      <c r="C48" s="1822" t="s">
        <v>1282</v>
      </c>
      <c r="D48" s="1823"/>
      <c r="E48" s="1823"/>
      <c r="F48" s="1823"/>
      <c r="G48" s="1824"/>
      <c r="H48" s="1841" t="s">
        <v>1283</v>
      </c>
      <c r="I48" s="1842"/>
      <c r="J48" s="1843"/>
      <c r="N48" s="1822" t="s">
        <v>1284</v>
      </c>
      <c r="O48" s="1823"/>
      <c r="P48" s="1824"/>
      <c r="T48" s="994"/>
      <c r="X48" s="604"/>
      <c r="Y48" s="604"/>
      <c r="Z48" s="604"/>
      <c r="AA48" s="604"/>
      <c r="AB48" s="604"/>
    </row>
    <row r="49" spans="2:28" ht="16.5" customHeight="1" thickBot="1" x14ac:dyDescent="0.3">
      <c r="B49" s="996" t="s">
        <v>570</v>
      </c>
      <c r="C49" s="1819" t="s">
        <v>1282</v>
      </c>
      <c r="D49" s="1820"/>
      <c r="E49" s="1820"/>
      <c r="F49" s="1820"/>
      <c r="G49" s="1821"/>
      <c r="H49" s="1819" t="s">
        <v>1283</v>
      </c>
      <c r="I49" s="1820"/>
      <c r="J49" s="1821"/>
      <c r="K49" s="993"/>
      <c r="L49" s="993"/>
      <c r="M49" s="993"/>
      <c r="N49" s="1819" t="s">
        <v>1283</v>
      </c>
      <c r="O49" s="1820"/>
      <c r="P49" s="1821"/>
      <c r="T49" s="994"/>
      <c r="X49" s="604"/>
      <c r="Y49" s="604"/>
      <c r="Z49" s="604"/>
      <c r="AA49" s="604"/>
      <c r="AB49" s="604"/>
    </row>
    <row r="50" spans="2:28" ht="12.9" customHeight="1" thickBot="1" x14ac:dyDescent="0.3">
      <c r="B50" s="997" t="s">
        <v>574</v>
      </c>
      <c r="C50" s="1822" t="s">
        <v>1285</v>
      </c>
      <c r="D50" s="1823"/>
      <c r="E50" s="1823"/>
      <c r="F50" s="1823"/>
      <c r="G50" s="1824"/>
      <c r="H50" s="1825" t="s">
        <v>1284</v>
      </c>
      <c r="I50" s="1826"/>
      <c r="J50" s="1827"/>
      <c r="K50" s="998"/>
      <c r="L50" s="998"/>
      <c r="M50" s="998"/>
      <c r="N50" s="1822" t="s">
        <v>1284</v>
      </c>
      <c r="O50" s="1823"/>
      <c r="P50" s="1824"/>
      <c r="T50" s="994"/>
      <c r="X50" s="604"/>
      <c r="Y50" s="604"/>
      <c r="Z50" s="604"/>
      <c r="AA50" s="604"/>
      <c r="AB50" s="604"/>
    </row>
    <row r="51" spans="2:28" x14ac:dyDescent="0.25">
      <c r="B51" s="1828" t="s">
        <v>1286</v>
      </c>
      <c r="C51" s="1829"/>
      <c r="D51" s="1829"/>
      <c r="E51" s="1829"/>
      <c r="F51" s="1829"/>
      <c r="G51" s="1829"/>
      <c r="H51" s="1829"/>
      <c r="I51" s="1829"/>
      <c r="J51" s="1829"/>
      <c r="K51" s="1829"/>
      <c r="L51" s="1829"/>
      <c r="M51" s="1829"/>
      <c r="N51" s="1829"/>
      <c r="O51" s="1829"/>
      <c r="P51" s="1829"/>
      <c r="T51" s="994"/>
      <c r="X51" s="604"/>
      <c r="Y51" s="604"/>
      <c r="Z51" s="604"/>
      <c r="AA51" s="604"/>
      <c r="AB51" s="604"/>
    </row>
    <row r="52" spans="2:28" ht="15.6" x14ac:dyDescent="0.25">
      <c r="B52" s="1830" t="s">
        <v>1287</v>
      </c>
      <c r="C52" s="1831"/>
      <c r="D52" s="1831"/>
      <c r="E52" s="1831"/>
      <c r="F52" s="1831"/>
      <c r="G52" s="1831"/>
      <c r="H52" s="1831"/>
      <c r="I52" s="1831"/>
      <c r="J52" s="1831"/>
      <c r="K52" s="1831"/>
      <c r="L52" s="1831"/>
      <c r="M52" s="1831"/>
      <c r="N52" s="1831"/>
      <c r="O52" s="1831"/>
      <c r="P52" s="1831"/>
      <c r="T52" s="994"/>
      <c r="X52" s="604"/>
      <c r="Y52" s="604"/>
      <c r="Z52" s="604"/>
      <c r="AA52" s="604"/>
      <c r="AB52" s="604"/>
    </row>
    <row r="53" spans="2:28" x14ac:dyDescent="0.25">
      <c r="B53" s="999"/>
      <c r="T53" s="994"/>
      <c r="X53" s="604"/>
      <c r="Y53" s="604"/>
      <c r="Z53" s="604"/>
      <c r="AA53" s="604"/>
      <c r="AB53" s="604"/>
    </row>
    <row r="54" spans="2:28" x14ac:dyDescent="0.25">
      <c r="B54" s="1000" t="s">
        <v>1288</v>
      </c>
      <c r="T54" s="994"/>
      <c r="X54" s="604"/>
      <c r="Y54" s="604"/>
      <c r="Z54" s="604"/>
      <c r="AA54" s="604"/>
      <c r="AB54" s="604"/>
    </row>
    <row r="55" spans="2:28" x14ac:dyDescent="0.25">
      <c r="B55" s="1832" t="s">
        <v>1289</v>
      </c>
      <c r="C55" s="1833"/>
      <c r="D55" s="1833"/>
      <c r="E55" s="1833"/>
      <c r="F55" s="1833"/>
      <c r="G55" s="1833"/>
      <c r="H55" s="1833"/>
      <c r="I55" s="1833"/>
      <c r="J55" s="1833"/>
      <c r="K55" s="1833"/>
      <c r="L55" s="1833"/>
      <c r="M55" s="1833"/>
      <c r="N55" s="1833"/>
      <c r="O55" s="1833"/>
      <c r="P55" s="1833"/>
      <c r="Q55" s="1833"/>
      <c r="R55" s="1833"/>
      <c r="S55" s="1833"/>
      <c r="T55" s="1834"/>
    </row>
    <row r="56" spans="2:28" x14ac:dyDescent="0.25">
      <c r="B56" s="1832" t="s">
        <v>1290</v>
      </c>
      <c r="C56" s="1833"/>
      <c r="D56" s="1833"/>
      <c r="E56" s="1833"/>
      <c r="F56" s="1833"/>
      <c r="G56" s="1833"/>
      <c r="H56" s="1833"/>
      <c r="I56" s="1833"/>
      <c r="J56" s="1833"/>
      <c r="K56" s="1833"/>
      <c r="L56" s="1833"/>
      <c r="M56" s="1833"/>
      <c r="N56" s="1833"/>
      <c r="O56" s="1833"/>
      <c r="P56" s="1833"/>
      <c r="Q56" s="1833"/>
      <c r="R56" s="1833"/>
      <c r="S56" s="1833"/>
      <c r="T56" s="1834"/>
    </row>
    <row r="57" spans="2:28" x14ac:dyDescent="0.25">
      <c r="B57" s="1832" t="s">
        <v>1291</v>
      </c>
      <c r="C57" s="1833"/>
      <c r="D57" s="1833"/>
      <c r="E57" s="1833"/>
      <c r="F57" s="1833"/>
      <c r="G57" s="1833"/>
      <c r="H57" s="1833"/>
      <c r="I57" s="1833"/>
      <c r="J57" s="1833"/>
      <c r="K57" s="1833"/>
      <c r="L57" s="1833"/>
      <c r="M57" s="1833"/>
      <c r="N57" s="1833"/>
      <c r="O57" s="1833"/>
      <c r="P57" s="1833"/>
      <c r="Q57" s="1833"/>
      <c r="R57" s="1833"/>
      <c r="S57" s="1833"/>
      <c r="T57" s="1834"/>
    </row>
    <row r="58" spans="2:28" ht="13.8" thickBot="1" x14ac:dyDescent="0.3">
      <c r="B58" s="1816" t="s">
        <v>1292</v>
      </c>
      <c r="C58" s="1817"/>
      <c r="D58" s="1817"/>
      <c r="E58" s="1817"/>
      <c r="F58" s="1817"/>
      <c r="G58" s="1817"/>
      <c r="H58" s="1817"/>
      <c r="I58" s="1817"/>
      <c r="J58" s="1817"/>
      <c r="K58" s="1817"/>
      <c r="L58" s="1817"/>
      <c r="M58" s="1817"/>
      <c r="N58" s="1817"/>
      <c r="O58" s="1817"/>
      <c r="P58" s="1817"/>
      <c r="Q58" s="1817"/>
      <c r="R58" s="1817"/>
      <c r="S58" s="1817"/>
      <c r="T58" s="1818"/>
    </row>
  </sheetData>
  <sheetProtection algorithmName="SHA-512" hashValue="CXtugkBoDRPBuXZZT0t/R4YyuFtsjShkXA+/X/invMpJCmtIbHDD4mFX/fqn6Zt42ecLhk67b3JPFT0Um6qqVA==" saltValue="cqAxbLbu63mKylMTH82M0A==" spinCount="100000" sheet="1" objects="1" scenarios="1" formatColumns="0" formatRows="0"/>
  <mergeCells count="32">
    <mergeCell ref="E44:F44"/>
    <mergeCell ref="C2:U2"/>
    <mergeCell ref="B6:C6"/>
    <mergeCell ref="E7:I7"/>
    <mergeCell ref="K7:O7"/>
    <mergeCell ref="E8:G8"/>
    <mergeCell ref="K8:O9"/>
    <mergeCell ref="E9:G9"/>
    <mergeCell ref="X10:Z11"/>
    <mergeCell ref="E22:F22"/>
    <mergeCell ref="X23:Z24"/>
    <mergeCell ref="E34:F34"/>
    <mergeCell ref="X35:Z36"/>
    <mergeCell ref="B46:T46"/>
    <mergeCell ref="C47:G47"/>
    <mergeCell ref="H47:J47"/>
    <mergeCell ref="N47:P47"/>
    <mergeCell ref="C48:G48"/>
    <mergeCell ref="H48:J48"/>
    <mergeCell ref="N48:P48"/>
    <mergeCell ref="B58:T58"/>
    <mergeCell ref="C49:G49"/>
    <mergeCell ref="H49:J49"/>
    <mergeCell ref="N49:P49"/>
    <mergeCell ref="C50:G50"/>
    <mergeCell ref="H50:J50"/>
    <mergeCell ref="N50:P50"/>
    <mergeCell ref="B51:P51"/>
    <mergeCell ref="B52:P52"/>
    <mergeCell ref="B55:T55"/>
    <mergeCell ref="B56:T56"/>
    <mergeCell ref="B57:T57"/>
  </mergeCells>
  <conditionalFormatting sqref="A7:A9 A3:XFD5 A6:B6 D6:XFD6 A22:E23 H8:J9 J7 C7:E9 K47:M50 B45:U45 B44:C44 B53:U53 B46 U46 Q47:U52 B59:U1048576 C54:U54 U55:U58 G22:XFD22 G44:U44 G23:V23 S7:XFD9 A24:V24 A10:V11 B43:U43 AA10:XFD11 AA23:XFD24 AA35:XFD36 A13:XFD21 B12:XFD12 B25:XFD25 B34:C34 G34:V34 V43:V1048576 A38:A1048576 W37:XFD1048576 B35:V42 A26:XFD29 A30:A36 W30:XFD34 B30:V33">
    <cfRule type="cellIs" dxfId="1290" priority="4" operator="equal">
      <formula>"PASS"</formula>
    </cfRule>
    <cfRule type="cellIs" dxfId="1289" priority="5" operator="equal">
      <formula>"FAIL"</formula>
    </cfRule>
  </conditionalFormatting>
  <conditionalFormatting sqref="C7:C9">
    <cfRule type="containsText" dxfId="1288" priority="3" operator="containsText" text="Complete Project Information Tab">
      <formula>NOT(ISERROR(SEARCH("Complete Project Information Tab",C7)))</formula>
    </cfRule>
  </conditionalFormatting>
  <conditionalFormatting sqref="K8">
    <cfRule type="cellIs" dxfId="1287" priority="1" operator="equal">
      <formula>"PASS"</formula>
    </cfRule>
    <cfRule type="cellIs" dxfId="1286" priority="2" operator="equal">
      <formula>"FAIL"</formula>
    </cfRule>
  </conditionalFormatting>
  <dataValidations count="1">
    <dataValidation type="list" allowBlank="1" showInputMessage="1" showErrorMessage="1" sqref="T38:U42 T13:U20 T26:U32" xr:uid="{78505E59-7436-EB4B-ADCF-2963C29DDBC6}">
      <formula1>"Yes,No,NA"</formula1>
    </dataValidation>
  </dataValidations>
  <pageMargins left="0.7" right="0.7" top="0.75" bottom="0.75" header="0.3" footer="0.3"/>
  <pageSetup scale="37" fitToHeight="0" orientation="landscape" verticalDpi="1200" r:id="rId1"/>
  <drawing r:id="rId2"/>
  <tableParts count="3">
    <tablePart r:id="rId3"/>
    <tablePart r:id="rId4"/>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D874-11C9-0341-9D0D-D1AAD782EF19}">
  <sheetPr codeName="Sheet11">
    <tabColor theme="7" tint="0.79998168889431442"/>
    <pageSetUpPr fitToPage="1"/>
  </sheetPr>
  <dimension ref="B1:Q21"/>
  <sheetViews>
    <sheetView zoomScaleNormal="100" workbookViewId="0">
      <selection activeCell="B2" sqref="B2"/>
    </sheetView>
  </sheetViews>
  <sheetFormatPr defaultColWidth="8.8984375" defaultRowHeight="15.6" x14ac:dyDescent="0.3"/>
  <cols>
    <col min="1" max="1" width="5.59765625" customWidth="1"/>
    <col min="2" max="2" width="32.8984375" customWidth="1"/>
    <col min="3" max="3" width="24.8984375" customWidth="1"/>
    <col min="4" max="4" width="31.09765625" customWidth="1"/>
    <col min="5" max="5" width="2.59765625" customWidth="1"/>
    <col min="6" max="6" width="28.5" bestFit="1" customWidth="1"/>
    <col min="8" max="9" width="9.09765625" hidden="1" customWidth="1"/>
  </cols>
  <sheetData>
    <row r="1" spans="2:17" ht="16.2" thickBot="1" x14ac:dyDescent="0.35">
      <c r="B1" s="796"/>
    </row>
    <row r="2" spans="2:17" ht="108.6" customHeight="1" thickBot="1" x14ac:dyDescent="0.35">
      <c r="B2" s="837" t="s">
        <v>1062</v>
      </c>
      <c r="C2" s="1786" t="s">
        <v>1293</v>
      </c>
      <c r="D2" s="1786"/>
      <c r="E2" s="1786"/>
      <c r="F2" s="1786"/>
      <c r="G2" s="1786"/>
      <c r="H2" s="1786"/>
      <c r="I2" s="1786"/>
      <c r="J2" s="1786"/>
      <c r="K2" s="1787"/>
    </row>
    <row r="3" spans="2:17" ht="16.2" thickBot="1" x14ac:dyDescent="0.35"/>
    <row r="4" spans="2:17" ht="16.2" thickBot="1" x14ac:dyDescent="0.35">
      <c r="B4" s="1001" t="s">
        <v>1294</v>
      </c>
      <c r="C4" s="1002" t="str">
        <f>IF('[2]Project Information'!$F$8="","Complete Project Information Tab",'[2]Project Information'!$F$8)</f>
        <v>Complete Project Information Tab</v>
      </c>
      <c r="D4" s="1866" t="s">
        <v>1295</v>
      </c>
      <c r="E4" s="1867"/>
      <c r="F4" s="1003" t="str">
        <f>IF('[2]Project Information'!$F$10="","Complete Project Information Tab",'[2]Project Information'!$F$10)</f>
        <v>Complete Project Information Tab</v>
      </c>
      <c r="G4" s="1004"/>
      <c r="H4" s="1005" t="str">
        <f>IF($F$4="CZ 1",2,
IF($F$4="CZ 2",3,
IF($F$4="CZ 3",4,
IF($F$4="CZ 4",5,
IF($F$4="CZ 4 C",6,
IF($F$4="CZ 5",7,
IF($F$4="CZ 6",8,
IF($F$4="CZ 7",9,
IF($F$4="CZ 8",10,"")))))))))</f>
        <v/>
      </c>
      <c r="I4" s="1006" t="s">
        <v>1296</v>
      </c>
    </row>
    <row r="5" spans="2:17" ht="16.2" thickBot="1" x14ac:dyDescent="0.35">
      <c r="C5" s="796"/>
      <c r="H5" s="1007">
        <v>2</v>
      </c>
      <c r="I5" s="1008" t="s">
        <v>1297</v>
      </c>
    </row>
    <row r="6" spans="2:17" ht="15.9" customHeight="1" x14ac:dyDescent="0.3">
      <c r="B6" s="796"/>
      <c r="F6" s="1772" t="s">
        <v>1158</v>
      </c>
      <c r="G6" s="1773"/>
      <c r="H6" s="1773"/>
      <c r="I6" s="1773"/>
      <c r="J6" s="1773"/>
      <c r="K6" s="1774"/>
      <c r="L6" s="798"/>
      <c r="M6" s="798"/>
      <c r="N6" s="798"/>
    </row>
    <row r="7" spans="2:17" ht="16.5" customHeight="1" thickBot="1" x14ac:dyDescent="0.35">
      <c r="B7" s="828" t="s">
        <v>1298</v>
      </c>
      <c r="F7" s="1775"/>
      <c r="G7" s="1776"/>
      <c r="H7" s="1776"/>
      <c r="I7" s="1776"/>
      <c r="J7" s="1776"/>
      <c r="K7" s="1777"/>
      <c r="L7" s="798"/>
      <c r="M7" s="798"/>
      <c r="N7" s="798"/>
    </row>
    <row r="8" spans="2:17" x14ac:dyDescent="0.3">
      <c r="B8" s="1009"/>
      <c r="C8" s="1010" t="s">
        <v>1299</v>
      </c>
      <c r="D8" s="1011" t="s">
        <v>1300</v>
      </c>
      <c r="F8" s="881"/>
      <c r="G8" s="882"/>
      <c r="H8" s="882"/>
      <c r="I8" s="1012"/>
      <c r="J8" s="1012"/>
      <c r="K8" s="1013"/>
      <c r="L8" s="798"/>
      <c r="M8" s="798"/>
      <c r="N8" s="798"/>
    </row>
    <row r="9" spans="2:17" s="801" customFormat="1" x14ac:dyDescent="0.3">
      <c r="B9" s="1014" t="s">
        <v>1301</v>
      </c>
      <c r="C9" s="1015" t="str">
        <f>IF($F$4="CZ 1","R-3ci",
IF($F$4="CZ 2","R-3ci",
IF($F$4="CZ 3","R-3ci",
IF($F$4="CZ 4","R-3ci",
IF($F$4="CZ 4 C","R-3ci",
IF($F$4="CZ 5","R-5ci",
IF($F$4="CZ 6","R-5ci",
IF($F$4="CZ 7","R-7.5ci",
IF($F$4="CZ 8","R-9.5ci","")))))))))</f>
        <v/>
      </c>
      <c r="D9" s="1016"/>
      <c r="E9" s="1017"/>
      <c r="F9" s="637"/>
      <c r="G9" s="638"/>
      <c r="H9" s="638"/>
      <c r="I9" s="1018"/>
      <c r="J9" s="1018"/>
      <c r="K9" s="1019"/>
      <c r="L9" s="1020"/>
      <c r="M9" s="1020"/>
      <c r="N9" s="1020"/>
      <c r="O9" s="1021"/>
      <c r="P9" s="1021"/>
      <c r="Q9" s="1021"/>
    </row>
    <row r="10" spans="2:17" s="801" customFormat="1" ht="38.85" customHeight="1" x14ac:dyDescent="0.3">
      <c r="B10" s="1014" t="s">
        <v>1302</v>
      </c>
      <c r="C10" s="1015" t="str">
        <f>IF(OR($F$4="",$F$4="Complete Project Information Tab"),"",INDEX([2]!IECC2009_O_Floors[#All],'ES 7. Heated Plenum or Garage'!$H$5,'ES 7. Heated Plenum or Garage'!$H$4))</f>
        <v/>
      </c>
      <c r="D10" s="1016"/>
      <c r="E10" s="1017"/>
      <c r="F10" s="637"/>
      <c r="G10" s="638"/>
      <c r="H10" s="638"/>
      <c r="I10" s="1018"/>
      <c r="J10" s="1018"/>
      <c r="K10" s="1019"/>
      <c r="L10" s="1020"/>
      <c r="M10" s="1020"/>
      <c r="N10" s="1020"/>
      <c r="O10" s="1021"/>
    </row>
    <row r="11" spans="2:17" s="801" customFormat="1" ht="16.2" thickBot="1" x14ac:dyDescent="0.35">
      <c r="B11" s="1022" t="s">
        <v>1303</v>
      </c>
      <c r="C11" s="1023" t="str">
        <f>IF(OR($F$4="",$F$4="Complete Project Information Tab"),"","R-13")</f>
        <v/>
      </c>
      <c r="D11" s="1024"/>
      <c r="F11" s="637"/>
      <c r="G11" s="638"/>
      <c r="H11" s="638"/>
      <c r="I11" s="834"/>
      <c r="J11" s="834"/>
      <c r="K11" s="835"/>
      <c r="L11" s="825"/>
      <c r="M11" s="825"/>
      <c r="N11" s="825"/>
    </row>
    <row r="12" spans="2:17" x14ac:dyDescent="0.3">
      <c r="F12" s="881"/>
      <c r="G12" s="882"/>
      <c r="H12" s="882"/>
      <c r="I12" s="1012"/>
      <c r="J12" s="1012"/>
      <c r="K12" s="1013"/>
      <c r="L12" s="798"/>
      <c r="M12" s="798"/>
      <c r="N12" s="798"/>
    </row>
    <row r="13" spans="2:17" x14ac:dyDescent="0.3">
      <c r="F13" s="881"/>
      <c r="G13" s="882"/>
      <c r="H13" s="882"/>
      <c r="I13" s="1012"/>
      <c r="J13" s="1012"/>
      <c r="K13" s="1013"/>
      <c r="L13" s="798"/>
      <c r="M13" s="798"/>
      <c r="N13" s="798"/>
    </row>
    <row r="14" spans="2:17" ht="16.2" thickBot="1" x14ac:dyDescent="0.35">
      <c r="B14" s="828" t="s">
        <v>1304</v>
      </c>
      <c r="F14" s="881"/>
      <c r="G14" s="882"/>
      <c r="H14" s="882"/>
      <c r="I14" s="1012"/>
      <c r="J14" s="1012"/>
      <c r="K14" s="1013"/>
      <c r="L14" s="798"/>
      <c r="M14" s="798"/>
      <c r="N14" s="798"/>
    </row>
    <row r="15" spans="2:17" x14ac:dyDescent="0.3">
      <c r="B15" s="1009"/>
      <c r="C15" s="1010" t="s">
        <v>1299</v>
      </c>
      <c r="D15" s="1011" t="s">
        <v>1300</v>
      </c>
      <c r="F15" s="1025"/>
      <c r="G15" s="1026"/>
      <c r="H15" s="1012"/>
      <c r="I15" s="1012"/>
      <c r="J15" s="1012"/>
      <c r="K15" s="1013"/>
      <c r="L15" s="798"/>
      <c r="M15" s="798"/>
      <c r="N15" s="798"/>
    </row>
    <row r="16" spans="2:17" s="801" customFormat="1" ht="31.2" x14ac:dyDescent="0.3">
      <c r="B16" s="1027" t="s">
        <v>1305</v>
      </c>
      <c r="C16" s="1015" t="str">
        <f>IF(OR($F$4="CZ 1",$F$4="CZ 2",$F$4="CZ 3",$F$4="CZ 4",$F$4="CZ 4 C"),"No ENERGY STAR Requirement",
IF(OR($F$4="CZ 5",$F$4="CZ 6"),"R-5ci",IF($F$4="CZ 7","R-7.5ci",
IF($F$4="CZ 8","R-9.5ci",""))))</f>
        <v/>
      </c>
      <c r="D16" s="1016"/>
      <c r="E16" s="1017"/>
      <c r="F16" s="1028"/>
      <c r="G16" s="1029"/>
      <c r="H16" s="834"/>
      <c r="I16" s="834"/>
      <c r="J16" s="834"/>
      <c r="K16" s="835"/>
      <c r="L16" s="825"/>
      <c r="M16" s="825"/>
      <c r="N16" s="825"/>
    </row>
    <row r="17" spans="2:14" s="801" customFormat="1" ht="16.2" thickBot="1" x14ac:dyDescent="0.35">
      <c r="B17" s="1022" t="s">
        <v>1306</v>
      </c>
      <c r="C17" s="1030" t="str">
        <f>IF(OR($F$4="",$F$4="Complete Project Information Tab"),"",INDEX([2]!IECC2009_O_Floors[#All],'ES 7. Heated Plenum or Garage'!$H$5,'ES 7. Heated Plenum or Garage'!$H$4))</f>
        <v/>
      </c>
      <c r="D17" s="1024"/>
      <c r="E17" s="1017"/>
      <c r="F17" s="822"/>
      <c r="G17" s="1031"/>
      <c r="H17" s="823"/>
      <c r="I17" s="823"/>
      <c r="J17" s="823"/>
      <c r="K17" s="824"/>
      <c r="L17" s="825"/>
      <c r="M17" s="825"/>
      <c r="N17" s="825"/>
    </row>
    <row r="18" spans="2:14" x14ac:dyDescent="0.3">
      <c r="F18" s="798"/>
      <c r="G18" s="798"/>
      <c r="H18" s="798"/>
      <c r="I18" s="798"/>
      <c r="J18" s="798"/>
      <c r="K18" s="798"/>
      <c r="L18" s="798"/>
      <c r="M18" s="798"/>
      <c r="N18" s="798"/>
    </row>
    <row r="19" spans="2:14" x14ac:dyDescent="0.3">
      <c r="B19" s="796"/>
      <c r="F19" s="798"/>
      <c r="G19" s="798"/>
      <c r="H19" s="798"/>
      <c r="I19" s="798"/>
      <c r="J19" s="798"/>
      <c r="K19" s="798"/>
      <c r="L19" s="798"/>
      <c r="M19" s="798"/>
      <c r="N19" s="798"/>
    </row>
    <row r="20" spans="2:14" x14ac:dyDescent="0.3">
      <c r="F20" s="798"/>
      <c r="G20" s="798"/>
      <c r="H20" s="798"/>
      <c r="I20" s="798"/>
      <c r="J20" s="798"/>
      <c r="K20" s="798"/>
      <c r="L20" s="798"/>
      <c r="M20" s="798"/>
      <c r="N20" s="798"/>
    </row>
    <row r="21" spans="2:14" x14ac:dyDescent="0.3">
      <c r="F21" s="798"/>
      <c r="G21" s="798"/>
      <c r="H21" s="798"/>
      <c r="I21" s="798"/>
      <c r="J21" s="798"/>
      <c r="K21" s="798"/>
      <c r="L21" s="798"/>
      <c r="M21" s="798"/>
      <c r="N21" s="798"/>
    </row>
  </sheetData>
  <sheetProtection algorithmName="SHA-512" hashValue="tbkhHL6ddeTAqBCOL/V751BftKX5DvVwL0AeUG8LsFSbwf9GYulZlf7YmrP3sG/hsc2dp6yJUrfwubXXv9oHTA==" saltValue="b1y9/RBqnOvXwmDBox+IPg==" spinCount="100000" sheet="1" formatColumns="0" formatRows="0" insertColumns="0" insertRows="0"/>
  <mergeCells count="3">
    <mergeCell ref="C2:K2"/>
    <mergeCell ref="D4:E4"/>
    <mergeCell ref="F6:K7"/>
  </mergeCells>
  <conditionalFormatting sqref="C4 F4">
    <cfRule type="containsText" dxfId="1207" priority="1" operator="containsText" text="Complete Project Information Tab">
      <formula>NOT(ISERROR(SEARCH("Complete Project Information Tab",C4)))</formula>
    </cfRule>
  </conditionalFormatting>
  <pageMargins left="0.7" right="0.7" top="0.75" bottom="0.75" header="0.3" footer="0.3"/>
  <pageSetup scale="38"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T53"/>
  <sheetViews>
    <sheetView zoomScaleNormal="100" zoomScalePageLayoutView="125" workbookViewId="0">
      <selection activeCell="D9" sqref="D9:K9"/>
    </sheetView>
  </sheetViews>
  <sheetFormatPr defaultColWidth="10.8984375" defaultRowHeight="15.6" x14ac:dyDescent="0.3"/>
  <cols>
    <col min="1" max="1" width="1.8984375" customWidth="1"/>
    <col min="2" max="2" width="2.5" style="26" customWidth="1"/>
    <col min="3" max="3" width="5.5" style="15" customWidth="1"/>
    <col min="4" max="4" width="6.09765625" style="15" customWidth="1"/>
    <col min="5" max="6" width="9.59765625" style="15" customWidth="1"/>
    <col min="7" max="10" width="20.59765625" style="15" customWidth="1"/>
    <col min="11" max="11" width="17.8984375" style="27" customWidth="1"/>
    <col min="12" max="12" width="0.59765625" style="14" customWidth="1"/>
    <col min="13" max="13" width="8" style="24" customWidth="1"/>
    <col min="14" max="14" width="7.8984375" style="24" customWidth="1"/>
    <col min="15" max="15" width="6.59765625" style="1" customWidth="1"/>
    <col min="16" max="16" width="1.8984375" customWidth="1"/>
    <col min="17" max="16384" width="10.8984375" style="14"/>
  </cols>
  <sheetData>
    <row r="1" spans="1:16" customFormat="1" ht="14.25" customHeight="1" thickBot="1" x14ac:dyDescent="0.35">
      <c r="A1" s="58"/>
      <c r="B1" s="59"/>
      <c r="C1" s="59"/>
      <c r="D1" s="59"/>
      <c r="E1" s="59"/>
      <c r="F1" s="59"/>
      <c r="G1" s="59"/>
      <c r="H1" s="59"/>
      <c r="I1" s="59"/>
      <c r="J1" s="59"/>
      <c r="K1" s="59"/>
      <c r="L1" s="59"/>
      <c r="M1" s="59"/>
      <c r="N1" s="59"/>
      <c r="O1" s="59"/>
      <c r="P1" s="60"/>
    </row>
    <row r="2" spans="1:16" ht="100.5" customHeight="1" x14ac:dyDescent="0.3">
      <c r="A2" s="140"/>
      <c r="B2" s="246"/>
      <c r="C2" s="1394" t="s">
        <v>390</v>
      </c>
      <c r="D2" s="1469"/>
      <c r="E2" s="1469"/>
      <c r="F2" s="1469"/>
      <c r="G2" s="1469"/>
      <c r="H2" s="1469"/>
      <c r="I2" s="1469"/>
      <c r="J2" s="1469"/>
      <c r="K2" s="1469"/>
      <c r="L2" s="1469"/>
      <c r="M2" s="1469"/>
      <c r="N2" s="1469"/>
      <c r="O2" s="48"/>
      <c r="P2" s="62"/>
    </row>
    <row r="3" spans="1:16" s="25" customFormat="1" ht="6.75" customHeight="1" x14ac:dyDescent="0.3">
      <c r="A3" s="140"/>
      <c r="B3" s="42"/>
      <c r="C3" s="50"/>
      <c r="D3" s="50"/>
      <c r="E3" s="50"/>
      <c r="F3" s="50"/>
      <c r="G3" s="50"/>
      <c r="H3" s="50"/>
      <c r="I3" s="50"/>
      <c r="J3" s="50"/>
      <c r="K3" s="51"/>
      <c r="L3" s="42"/>
      <c r="M3" s="52"/>
      <c r="N3" s="52"/>
      <c r="O3" s="53"/>
      <c r="P3" s="62"/>
    </row>
    <row r="4" spans="1:16" ht="30" customHeight="1" x14ac:dyDescent="0.3">
      <c r="A4" s="140"/>
      <c r="B4" s="42"/>
      <c r="C4" s="1470" t="s">
        <v>1931</v>
      </c>
      <c r="D4" s="1470"/>
      <c r="E4" s="1470"/>
      <c r="F4" s="1470"/>
      <c r="G4" s="1470"/>
      <c r="H4" s="1470"/>
      <c r="I4" s="1470"/>
      <c r="J4" s="1470"/>
      <c r="K4" s="1470"/>
      <c r="L4" s="1470"/>
      <c r="M4" s="1470"/>
      <c r="N4" s="1470"/>
      <c r="O4" s="1471"/>
      <c r="P4" s="62"/>
    </row>
    <row r="5" spans="1:16" s="25" customFormat="1" ht="6.75" customHeight="1" thickBot="1" x14ac:dyDescent="0.35">
      <c r="A5" s="140"/>
      <c r="B5" s="42"/>
      <c r="C5" s="50"/>
      <c r="D5" s="50"/>
      <c r="E5" s="50"/>
      <c r="F5" s="50"/>
      <c r="G5" s="50"/>
      <c r="H5" s="50"/>
      <c r="I5" s="50"/>
      <c r="J5" s="50"/>
      <c r="K5" s="51"/>
      <c r="L5" s="42"/>
      <c r="M5" s="52"/>
      <c r="N5" s="52"/>
      <c r="O5" s="53"/>
      <c r="P5" s="62"/>
    </row>
    <row r="6" spans="1:16" s="15" customFormat="1" ht="27" customHeight="1" x14ac:dyDescent="0.3">
      <c r="A6" s="140"/>
      <c r="B6" s="42"/>
      <c r="C6" s="247" t="s">
        <v>6</v>
      </c>
      <c r="D6" s="1472" t="s">
        <v>5</v>
      </c>
      <c r="E6" s="1472"/>
      <c r="F6" s="1472"/>
      <c r="G6" s="1472"/>
      <c r="H6" s="1472"/>
      <c r="I6" s="1472"/>
      <c r="J6" s="1472"/>
      <c r="K6" s="1472"/>
      <c r="L6" s="248"/>
      <c r="M6" s="249" t="s">
        <v>39</v>
      </c>
      <c r="N6" s="250" t="s">
        <v>40</v>
      </c>
      <c r="O6" s="53"/>
      <c r="P6" s="62"/>
    </row>
    <row r="7" spans="1:16" s="25" customFormat="1" ht="3" customHeight="1" x14ac:dyDescent="0.3">
      <c r="A7" s="140"/>
      <c r="B7" s="42"/>
      <c r="C7" s="49"/>
      <c r="D7" s="50"/>
      <c r="E7" s="50"/>
      <c r="F7" s="50"/>
      <c r="G7" s="50"/>
      <c r="H7" s="50"/>
      <c r="I7" s="50"/>
      <c r="J7" s="50"/>
      <c r="K7" s="51"/>
      <c r="L7" s="42"/>
      <c r="M7" s="52"/>
      <c r="N7" s="251"/>
      <c r="O7" s="53"/>
      <c r="P7" s="62"/>
    </row>
    <row r="8" spans="1:16" ht="30" customHeight="1" x14ac:dyDescent="0.3">
      <c r="A8" s="140"/>
      <c r="B8" s="52"/>
      <c r="C8" s="54">
        <v>1</v>
      </c>
      <c r="D8" s="1460" t="s">
        <v>384</v>
      </c>
      <c r="E8" s="1461"/>
      <c r="F8" s="1461"/>
      <c r="G8" s="1461"/>
      <c r="H8" s="1461"/>
      <c r="I8" s="1461"/>
      <c r="J8" s="1461"/>
      <c r="K8" s="1463"/>
      <c r="L8" s="55"/>
      <c r="M8" s="39"/>
      <c r="N8" s="252"/>
      <c r="O8" s="53"/>
      <c r="P8" s="62"/>
    </row>
    <row r="9" spans="1:16" x14ac:dyDescent="0.3">
      <c r="A9" s="140"/>
      <c r="B9" s="52"/>
      <c r="C9" s="54">
        <v>2</v>
      </c>
      <c r="D9" s="1460" t="s">
        <v>413</v>
      </c>
      <c r="E9" s="1461"/>
      <c r="F9" s="1461"/>
      <c r="G9" s="1461"/>
      <c r="H9" s="1461"/>
      <c r="I9" s="1461"/>
      <c r="J9" s="1461"/>
      <c r="K9" s="1463"/>
      <c r="L9" s="55"/>
      <c r="M9" s="39"/>
      <c r="N9" s="252"/>
      <c r="O9" s="53"/>
      <c r="P9" s="62"/>
    </row>
    <row r="10" spans="1:16" ht="15.9" customHeight="1" x14ac:dyDescent="0.3">
      <c r="A10" s="140"/>
      <c r="B10" s="52"/>
      <c r="C10" s="54">
        <v>3</v>
      </c>
      <c r="D10" s="1460" t="s">
        <v>385</v>
      </c>
      <c r="E10" s="1461"/>
      <c r="F10" s="1461"/>
      <c r="G10" s="1461"/>
      <c r="H10" s="1461"/>
      <c r="I10" s="1461"/>
      <c r="J10" s="1461"/>
      <c r="K10" s="1463"/>
      <c r="L10" s="55"/>
      <c r="M10" s="39"/>
      <c r="N10" s="252"/>
      <c r="O10" s="53"/>
      <c r="P10" s="62"/>
    </row>
    <row r="11" spans="1:16" ht="27.75" customHeight="1" x14ac:dyDescent="0.3">
      <c r="A11" s="140"/>
      <c r="B11" s="52"/>
      <c r="C11" s="54">
        <v>4</v>
      </c>
      <c r="D11" s="1460" t="s">
        <v>467</v>
      </c>
      <c r="E11" s="1461"/>
      <c r="F11" s="1461"/>
      <c r="G11" s="1461"/>
      <c r="H11" s="1461"/>
      <c r="I11" s="1461"/>
      <c r="J11" s="1461"/>
      <c r="K11" s="1463"/>
      <c r="L11" s="55"/>
      <c r="M11" s="39"/>
      <c r="N11" s="252"/>
      <c r="O11" s="53"/>
      <c r="P11" s="62"/>
    </row>
    <row r="12" spans="1:16" ht="15.75" customHeight="1" x14ac:dyDescent="0.3">
      <c r="A12" s="140"/>
      <c r="B12" s="52"/>
      <c r="C12" s="54">
        <v>5</v>
      </c>
      <c r="D12" s="1460" t="s">
        <v>412</v>
      </c>
      <c r="E12" s="1461"/>
      <c r="F12" s="1461"/>
      <c r="G12" s="1461"/>
      <c r="H12" s="1461"/>
      <c r="I12" s="1461"/>
      <c r="J12" s="1461"/>
      <c r="K12" s="158"/>
      <c r="L12" s="40"/>
      <c r="M12" s="41"/>
      <c r="N12" s="253"/>
      <c r="O12" s="53"/>
      <c r="P12" s="62"/>
    </row>
    <row r="13" spans="1:16" ht="15.75" customHeight="1" x14ac:dyDescent="0.3">
      <c r="A13" s="140"/>
      <c r="B13" s="52"/>
      <c r="C13" s="262" t="s">
        <v>475</v>
      </c>
      <c r="D13" s="263"/>
      <c r="E13" s="264"/>
      <c r="F13" s="264"/>
      <c r="G13" s="264"/>
      <c r="H13" s="264"/>
      <c r="I13" s="264"/>
      <c r="J13" s="264"/>
      <c r="K13" s="264"/>
      <c r="L13" s="264"/>
      <c r="M13" s="264"/>
      <c r="N13" s="265"/>
      <c r="O13" s="53"/>
      <c r="P13" s="62"/>
    </row>
    <row r="14" spans="1:16" ht="33.75" customHeight="1" x14ac:dyDescent="0.3">
      <c r="A14" s="140"/>
      <c r="B14" s="52"/>
      <c r="C14" s="54">
        <v>6.1</v>
      </c>
      <c r="D14" s="1467" t="s">
        <v>7</v>
      </c>
      <c r="E14" s="1467"/>
      <c r="F14" s="1467"/>
      <c r="G14" s="1467"/>
      <c r="H14" s="1467"/>
      <c r="I14" s="1467"/>
      <c r="J14" s="1467"/>
      <c r="K14" s="1468"/>
      <c r="L14" s="47"/>
      <c r="M14" s="39"/>
      <c r="N14" s="252"/>
      <c r="O14" s="53"/>
      <c r="P14" s="62"/>
    </row>
    <row r="15" spans="1:16" s="25" customFormat="1" ht="70.5" customHeight="1" x14ac:dyDescent="0.3">
      <c r="A15" s="140"/>
      <c r="B15" s="52"/>
      <c r="C15" s="262" t="s">
        <v>475</v>
      </c>
      <c r="D15" s="266"/>
      <c r="E15" s="266"/>
      <c r="F15" s="266"/>
      <c r="G15" s="266"/>
      <c r="H15" s="266"/>
      <c r="I15" s="266"/>
      <c r="J15" s="266"/>
      <c r="K15" s="266"/>
      <c r="L15" s="266"/>
      <c r="M15" s="266"/>
      <c r="N15" s="267"/>
      <c r="O15" s="53"/>
      <c r="P15" s="62"/>
    </row>
    <row r="16" spans="1:16" ht="32.25" customHeight="1" x14ac:dyDescent="0.3">
      <c r="A16" s="140"/>
      <c r="B16" s="52"/>
      <c r="C16" s="54">
        <v>6.2</v>
      </c>
      <c r="D16" s="1460" t="s">
        <v>388</v>
      </c>
      <c r="E16" s="1461"/>
      <c r="F16" s="1461"/>
      <c r="G16" s="1461"/>
      <c r="H16" s="1461"/>
      <c r="I16" s="1461"/>
      <c r="J16" s="1461"/>
      <c r="K16" s="1463"/>
      <c r="L16" s="46"/>
      <c r="M16" s="39"/>
      <c r="N16" s="252"/>
      <c r="O16" s="53"/>
      <c r="P16" s="62"/>
    </row>
    <row r="17" spans="1:16" ht="48.75" customHeight="1" x14ac:dyDescent="0.3">
      <c r="A17" s="140"/>
      <c r="B17" s="52"/>
      <c r="C17" s="262" t="s">
        <v>475</v>
      </c>
      <c r="D17" s="266"/>
      <c r="E17" s="266"/>
      <c r="F17" s="266"/>
      <c r="G17" s="266"/>
      <c r="H17" s="266"/>
      <c r="I17" s="266"/>
      <c r="J17" s="266"/>
      <c r="K17" s="266"/>
      <c r="L17" s="266"/>
      <c r="M17" s="266"/>
      <c r="N17" s="267"/>
      <c r="O17" s="53"/>
      <c r="P17" s="62"/>
    </row>
    <row r="18" spans="1:16" ht="27" customHeight="1" x14ac:dyDescent="0.3">
      <c r="A18" s="140"/>
      <c r="B18" s="52"/>
      <c r="C18" s="54">
        <v>7</v>
      </c>
      <c r="D18" s="1460" t="s">
        <v>387</v>
      </c>
      <c r="E18" s="1461"/>
      <c r="F18" s="1461"/>
      <c r="G18" s="1461"/>
      <c r="H18" s="1461"/>
      <c r="I18" s="1461"/>
      <c r="J18" s="1461"/>
      <c r="K18" s="1463"/>
      <c r="L18" s="57"/>
      <c r="M18" s="39"/>
      <c r="N18" s="252"/>
      <c r="O18" s="53"/>
      <c r="P18" s="62"/>
    </row>
    <row r="19" spans="1:16" ht="17.100000000000001" customHeight="1" x14ac:dyDescent="0.3">
      <c r="A19" s="140"/>
      <c r="B19" s="52"/>
      <c r="C19" s="54">
        <v>8</v>
      </c>
      <c r="D19" s="1460" t="s">
        <v>391</v>
      </c>
      <c r="E19" s="1461"/>
      <c r="F19" s="1461"/>
      <c r="G19" s="1461"/>
      <c r="H19" s="1461"/>
      <c r="I19" s="1461"/>
      <c r="J19" s="1461"/>
      <c r="K19" s="1463"/>
      <c r="L19" s="46"/>
      <c r="M19" s="39"/>
      <c r="N19" s="252"/>
      <c r="O19" s="53"/>
      <c r="P19" s="62"/>
    </row>
    <row r="20" spans="1:16" ht="48.75" customHeight="1" x14ac:dyDescent="0.3">
      <c r="A20" s="140"/>
      <c r="B20" s="52"/>
      <c r="C20" s="262" t="s">
        <v>475</v>
      </c>
      <c r="D20" s="266"/>
      <c r="E20" s="266"/>
      <c r="F20" s="266"/>
      <c r="G20" s="266"/>
      <c r="H20" s="266"/>
      <c r="I20" s="266"/>
      <c r="J20" s="266"/>
      <c r="K20" s="266"/>
      <c r="L20" s="266"/>
      <c r="M20" s="266"/>
      <c r="N20" s="267"/>
      <c r="O20" s="53"/>
      <c r="P20" s="62"/>
    </row>
    <row r="21" spans="1:16" ht="17.100000000000001" customHeight="1" x14ac:dyDescent="0.3">
      <c r="A21" s="140"/>
      <c r="B21" s="52"/>
      <c r="C21" s="1456">
        <v>9</v>
      </c>
      <c r="D21" s="1464" t="s">
        <v>389</v>
      </c>
      <c r="E21" s="1465"/>
      <c r="F21" s="1465"/>
      <c r="G21" s="1465"/>
      <c r="H21" s="1465"/>
      <c r="I21" s="1465"/>
      <c r="J21" s="1465"/>
      <c r="K21" s="1466"/>
      <c r="L21" s="57"/>
      <c r="M21" s="52"/>
      <c r="N21" s="254"/>
      <c r="O21" s="53"/>
      <c r="P21" s="62"/>
    </row>
    <row r="22" spans="1:16" ht="15" customHeight="1" x14ac:dyDescent="0.3">
      <c r="A22" s="140"/>
      <c r="B22" s="43"/>
      <c r="C22" s="1457"/>
      <c r="D22" s="1462" t="s">
        <v>458</v>
      </c>
      <c r="E22" s="1451"/>
      <c r="F22" s="1451"/>
      <c r="G22" s="1451"/>
      <c r="H22" s="1451"/>
      <c r="I22" s="1451"/>
      <c r="J22" s="1451"/>
      <c r="K22" s="1452"/>
      <c r="L22" s="55"/>
      <c r="M22" s="160"/>
      <c r="N22" s="255"/>
      <c r="O22" s="53"/>
      <c r="P22" s="62"/>
    </row>
    <row r="23" spans="1:16" ht="15" customHeight="1" x14ac:dyDescent="0.3">
      <c r="A23" s="140"/>
      <c r="B23" s="43"/>
      <c r="C23" s="1457"/>
      <c r="D23" s="142"/>
      <c r="E23" s="143"/>
      <c r="F23" s="143"/>
      <c r="G23" s="143"/>
      <c r="H23" s="143"/>
      <c r="I23" s="143"/>
      <c r="J23" s="1451" t="s">
        <v>459</v>
      </c>
      <c r="K23" s="1452"/>
      <c r="L23" s="55"/>
      <c r="M23" s="160"/>
      <c r="N23" s="255"/>
      <c r="O23" s="53"/>
      <c r="P23" s="62"/>
    </row>
    <row r="24" spans="1:16" ht="15" customHeight="1" x14ac:dyDescent="0.3">
      <c r="A24" s="140"/>
      <c r="B24" s="43"/>
      <c r="C24" s="1457"/>
      <c r="D24" s="1462" t="s">
        <v>0</v>
      </c>
      <c r="E24" s="1451"/>
      <c r="F24" s="1451"/>
      <c r="G24" s="1451"/>
      <c r="H24" s="1451"/>
      <c r="I24" s="1451"/>
      <c r="J24" s="1451"/>
      <c r="K24" s="1452"/>
      <c r="L24" s="55"/>
      <c r="M24" s="160"/>
      <c r="N24" s="255"/>
      <c r="O24" s="53"/>
      <c r="P24" s="62"/>
    </row>
    <row r="25" spans="1:16" ht="15" customHeight="1" x14ac:dyDescent="0.3">
      <c r="A25" s="140"/>
      <c r="B25" s="43"/>
      <c r="C25" s="1457"/>
      <c r="D25" s="142"/>
      <c r="E25" s="143"/>
      <c r="F25" s="143"/>
      <c r="G25" s="143"/>
      <c r="H25" s="143"/>
      <c r="I25" s="143"/>
      <c r="J25" s="143"/>
      <c r="K25" s="144" t="s">
        <v>426</v>
      </c>
      <c r="L25" s="55"/>
      <c r="M25" s="161" t="str">
        <f>IF(OR(ISBLANK(M22),ISBLANK(M24))," ",M24/M22)</f>
        <v xml:space="preserve"> </v>
      </c>
      <c r="N25" s="255"/>
      <c r="O25" s="53"/>
      <c r="P25" s="62"/>
    </row>
    <row r="26" spans="1:16" ht="15" customHeight="1" x14ac:dyDescent="0.3">
      <c r="A26" s="140"/>
      <c r="B26" s="44"/>
      <c r="C26" s="1457"/>
      <c r="D26" s="1462" t="s">
        <v>1</v>
      </c>
      <c r="E26" s="1451"/>
      <c r="F26" s="1451"/>
      <c r="G26" s="1451"/>
      <c r="H26" s="1451"/>
      <c r="I26" s="1451"/>
      <c r="J26" s="1451"/>
      <c r="K26" s="1452"/>
      <c r="L26" s="55"/>
      <c r="M26" s="162" t="str">
        <f>IF(OR(ISBLANK(M23),ISBLANK(M24))," ",M24*60/M23)</f>
        <v xml:space="preserve"> </v>
      </c>
      <c r="N26" s="256"/>
      <c r="O26" s="53"/>
      <c r="P26" s="62"/>
    </row>
    <row r="27" spans="1:16" ht="15" customHeight="1" x14ac:dyDescent="0.3">
      <c r="A27" s="140"/>
      <c r="B27" s="43"/>
      <c r="C27" s="1457"/>
      <c r="D27" s="1462" t="s">
        <v>2</v>
      </c>
      <c r="E27" s="1451"/>
      <c r="F27" s="1451"/>
      <c r="G27" s="1451"/>
      <c r="H27" s="1451"/>
      <c r="I27" s="1451"/>
      <c r="J27" s="1451"/>
      <c r="K27" s="1452"/>
      <c r="L27" s="55"/>
      <c r="M27" s="160"/>
      <c r="N27" s="255"/>
      <c r="O27" s="53"/>
      <c r="P27" s="62"/>
    </row>
    <row r="28" spans="1:16" ht="15" customHeight="1" x14ac:dyDescent="0.3">
      <c r="A28" s="140"/>
      <c r="B28" s="43"/>
      <c r="C28" s="1457"/>
      <c r="D28" s="142"/>
      <c r="E28" s="143"/>
      <c r="F28" s="143"/>
      <c r="G28" s="143"/>
      <c r="H28" s="143"/>
      <c r="I28" s="143"/>
      <c r="J28" s="143"/>
      <c r="K28" s="144" t="s">
        <v>426</v>
      </c>
      <c r="L28" s="55"/>
      <c r="M28" s="161" t="str">
        <f>IF(OR(ISBLANK(M22),ISBLANK(M27))," ",M27/M22)</f>
        <v xml:space="preserve"> </v>
      </c>
      <c r="N28" s="255"/>
      <c r="O28" s="53"/>
      <c r="P28" s="62"/>
    </row>
    <row r="29" spans="1:16" ht="15" customHeight="1" x14ac:dyDescent="0.3">
      <c r="A29" s="140"/>
      <c r="B29" s="45"/>
      <c r="C29" s="1457"/>
      <c r="D29" s="1462" t="s">
        <v>3</v>
      </c>
      <c r="E29" s="1451"/>
      <c r="F29" s="1451"/>
      <c r="G29" s="1451"/>
      <c r="H29" s="1451"/>
      <c r="I29" s="1451"/>
      <c r="J29" s="1451"/>
      <c r="K29" s="1452"/>
      <c r="L29" s="55"/>
      <c r="M29" s="163" t="str">
        <f>IF(OR(ISBLANK(M23),ISBLANK(M27))," ",M27*60/M23)</f>
        <v xml:space="preserve"> </v>
      </c>
      <c r="N29" s="257"/>
      <c r="O29" s="53"/>
      <c r="P29" s="62"/>
    </row>
    <row r="30" spans="1:16" ht="15" customHeight="1" x14ac:dyDescent="0.3">
      <c r="A30" s="140"/>
      <c r="B30" s="43"/>
      <c r="C30" s="1457"/>
      <c r="D30" s="1462" t="s">
        <v>4</v>
      </c>
      <c r="E30" s="1451"/>
      <c r="F30" s="1451"/>
      <c r="G30" s="1451"/>
      <c r="H30" s="1451"/>
      <c r="I30" s="1451"/>
      <c r="J30" s="1451"/>
      <c r="K30" s="1452"/>
      <c r="L30" s="55"/>
      <c r="M30" s="304" t="str">
        <f>IF(OR(ISBLANK(M24),ISBLANK(M27))," ",AVERAGE(M24,M27))</f>
        <v xml:space="preserve"> </v>
      </c>
      <c r="N30" s="255"/>
      <c r="O30" s="53"/>
      <c r="P30" s="62"/>
    </row>
    <row r="31" spans="1:16" ht="15" customHeight="1" x14ac:dyDescent="0.3">
      <c r="A31" s="140"/>
      <c r="B31" s="45"/>
      <c r="C31" s="1457"/>
      <c r="D31" s="142"/>
      <c r="E31" s="143"/>
      <c r="F31" s="143"/>
      <c r="G31" s="143"/>
      <c r="H31" s="143"/>
      <c r="I31" s="143"/>
      <c r="J31" s="1451" t="s">
        <v>427</v>
      </c>
      <c r="K31" s="1452"/>
      <c r="L31" s="55"/>
      <c r="M31" s="164" t="str">
        <f>IF(ISNUMBER(M30),((M25+M28)/2)," ")</f>
        <v xml:space="preserve"> </v>
      </c>
      <c r="N31" s="257"/>
      <c r="O31" s="53"/>
      <c r="P31" s="62"/>
    </row>
    <row r="32" spans="1:16" ht="15" customHeight="1" x14ac:dyDescent="0.3">
      <c r="A32" s="140"/>
      <c r="B32" s="44"/>
      <c r="C32" s="1458"/>
      <c r="D32" s="1462" t="s">
        <v>428</v>
      </c>
      <c r="E32" s="1451"/>
      <c r="F32" s="1451"/>
      <c r="G32" s="1451"/>
      <c r="H32" s="1451"/>
      <c r="I32" s="1451"/>
      <c r="J32" s="1451"/>
      <c r="K32" s="1452"/>
      <c r="L32" s="55"/>
      <c r="M32" s="305" t="str">
        <f>IF(ISNUMBER(M30),((M26+M29)/2)," ")</f>
        <v xml:space="preserve"> </v>
      </c>
      <c r="N32" s="256"/>
      <c r="O32" s="53"/>
      <c r="P32" s="62"/>
    </row>
    <row r="33" spans="1:20" ht="6.9" customHeight="1" x14ac:dyDescent="0.3">
      <c r="A33" s="140"/>
      <c r="B33" s="52"/>
      <c r="C33" s="258"/>
      <c r="D33" s="50"/>
      <c r="E33" s="50"/>
      <c r="F33" s="50"/>
      <c r="G33" s="50"/>
      <c r="H33" s="50"/>
      <c r="I33" s="50"/>
      <c r="J33" s="50"/>
      <c r="K33" s="51"/>
      <c r="L33" s="57"/>
      <c r="M33" s="52"/>
      <c r="N33" s="251"/>
      <c r="O33" s="53"/>
      <c r="P33" s="62"/>
    </row>
    <row r="34" spans="1:20" x14ac:dyDescent="0.3">
      <c r="A34" s="140"/>
      <c r="B34" s="52"/>
      <c r="C34" s="1456">
        <v>10</v>
      </c>
      <c r="D34" s="1464" t="s">
        <v>1919</v>
      </c>
      <c r="E34" s="1465"/>
      <c r="F34" s="1465"/>
      <c r="G34" s="1465"/>
      <c r="H34" s="1465"/>
      <c r="I34" s="1465"/>
      <c r="J34" s="1465"/>
      <c r="K34" s="1466"/>
      <c r="L34" s="57"/>
      <c r="M34" s="52"/>
      <c r="N34" s="251"/>
      <c r="O34" s="53"/>
      <c r="P34" s="62"/>
    </row>
    <row r="35" spans="1:20" ht="15.6" customHeight="1" x14ac:dyDescent="0.3">
      <c r="A35" s="140"/>
      <c r="B35" s="52"/>
      <c r="C35" s="1457"/>
      <c r="D35" s="1462" t="s">
        <v>464</v>
      </c>
      <c r="E35" s="1451"/>
      <c r="F35" s="1451"/>
      <c r="G35" s="1451"/>
      <c r="H35" s="1451"/>
      <c r="I35" s="1451"/>
      <c r="J35" s="1451"/>
      <c r="K35" s="1452"/>
      <c r="L35" s="57"/>
      <c r="M35" s="160" t="s">
        <v>461</v>
      </c>
      <c r="N35" s="251"/>
      <c r="O35" s="53"/>
      <c r="P35" s="62"/>
      <c r="T35" s="306" t="s">
        <v>460</v>
      </c>
    </row>
    <row r="36" spans="1:20" ht="15.75" customHeight="1" x14ac:dyDescent="0.3">
      <c r="A36" s="140"/>
      <c r="B36" s="52"/>
      <c r="C36" s="1457"/>
      <c r="D36" s="1462" t="s">
        <v>458</v>
      </c>
      <c r="E36" s="1451"/>
      <c r="F36" s="1451"/>
      <c r="G36" s="1451"/>
      <c r="H36" s="1451"/>
      <c r="I36" s="1451"/>
      <c r="J36" s="1451"/>
      <c r="K36" s="1452"/>
      <c r="L36" s="57"/>
      <c r="M36" s="160"/>
      <c r="N36" s="251"/>
      <c r="O36" s="53"/>
      <c r="P36" s="62"/>
      <c r="T36" s="306" t="s">
        <v>461</v>
      </c>
    </row>
    <row r="37" spans="1:20" ht="15.75" customHeight="1" x14ac:dyDescent="0.3">
      <c r="A37" s="140"/>
      <c r="B37" s="52"/>
      <c r="C37" s="1457"/>
      <c r="D37" s="1462" t="s">
        <v>462</v>
      </c>
      <c r="E37" s="1451"/>
      <c r="F37" s="1451"/>
      <c r="G37" s="1451"/>
      <c r="H37" s="1451"/>
      <c r="I37" s="1451"/>
      <c r="J37" s="1451"/>
      <c r="K37" s="1452"/>
      <c r="L37" s="57"/>
      <c r="M37" s="308" t="str">
        <f>IF(ISNUMBER(M36),IF(M35="NO",0.06*M36,0.08*M36)," ")</f>
        <v xml:space="preserve"> </v>
      </c>
      <c r="N37" s="251"/>
      <c r="O37" s="53"/>
      <c r="P37" s="62"/>
      <c r="T37" s="306"/>
    </row>
    <row r="38" spans="1:20" ht="15.75" customHeight="1" x14ac:dyDescent="0.3">
      <c r="A38" s="140"/>
      <c r="B38" s="52"/>
      <c r="C38" s="1457"/>
      <c r="D38" s="1462" t="s">
        <v>463</v>
      </c>
      <c r="E38" s="1451"/>
      <c r="F38" s="1451"/>
      <c r="G38" s="1451"/>
      <c r="H38" s="1451"/>
      <c r="I38" s="1451"/>
      <c r="J38" s="1451"/>
      <c r="K38" s="1452"/>
      <c r="L38" s="57"/>
      <c r="M38" s="164">
        <f>IF(M35="NO", 0.06, 0.08)</f>
        <v>0.06</v>
      </c>
      <c r="N38" s="251"/>
      <c r="O38" s="53"/>
      <c r="P38" s="62"/>
      <c r="T38" s="306"/>
    </row>
    <row r="39" spans="1:20" x14ac:dyDescent="0.3">
      <c r="A39" s="140"/>
      <c r="B39" s="52"/>
      <c r="C39" s="1457"/>
      <c r="D39" s="142"/>
      <c r="E39" s="143"/>
      <c r="F39" s="143"/>
      <c r="G39" s="143"/>
      <c r="H39" s="143"/>
      <c r="I39" s="143"/>
      <c r="J39" s="1451" t="s">
        <v>459</v>
      </c>
      <c r="K39" s="1452"/>
      <c r="L39" s="57"/>
      <c r="M39" s="160"/>
      <c r="N39" s="251"/>
      <c r="O39" s="53"/>
      <c r="P39" s="62"/>
    </row>
    <row r="40" spans="1:20" ht="15" customHeight="1" x14ac:dyDescent="0.3">
      <c r="A40" s="140"/>
      <c r="B40" s="43"/>
      <c r="C40" s="1457"/>
      <c r="D40" s="1462" t="s">
        <v>453</v>
      </c>
      <c r="E40" s="1451"/>
      <c r="F40" s="1451"/>
      <c r="G40" s="1451"/>
      <c r="H40" s="1451"/>
      <c r="I40" s="1451"/>
      <c r="J40" s="1451"/>
      <c r="K40" s="1452"/>
      <c r="L40" s="55"/>
      <c r="M40" s="160"/>
      <c r="N40" s="255"/>
      <c r="O40" s="53"/>
      <c r="P40" s="62"/>
    </row>
    <row r="41" spans="1:20" ht="15" customHeight="1" x14ac:dyDescent="0.3">
      <c r="A41" s="140"/>
      <c r="B41" s="43"/>
      <c r="C41" s="1457"/>
      <c r="D41" s="142"/>
      <c r="E41" s="143"/>
      <c r="F41" s="143"/>
      <c r="G41" s="143"/>
      <c r="H41" s="143"/>
      <c r="I41" s="143"/>
      <c r="J41" s="143"/>
      <c r="K41" s="144" t="s">
        <v>426</v>
      </c>
      <c r="L41" s="55"/>
      <c r="M41" s="161" t="str">
        <f>IF(OR(ISBLANK(M36),ISBLANK(M40))," ",M40/M36)</f>
        <v xml:space="preserve"> </v>
      </c>
      <c r="N41" s="255"/>
      <c r="O41" s="53"/>
      <c r="P41" s="62"/>
    </row>
    <row r="42" spans="1:20" ht="15" customHeight="1" x14ac:dyDescent="0.3">
      <c r="A42" s="140"/>
      <c r="B42" s="44"/>
      <c r="C42" s="1457"/>
      <c r="D42" s="1462" t="s">
        <v>1</v>
      </c>
      <c r="E42" s="1451"/>
      <c r="F42" s="1451"/>
      <c r="G42" s="1451"/>
      <c r="H42" s="1451"/>
      <c r="I42" s="1451"/>
      <c r="J42" s="1451"/>
      <c r="K42" s="1452"/>
      <c r="L42" s="55"/>
      <c r="M42" s="162" t="str">
        <f>IF(OR(ISBLANK(M39),ISBLANK(M40))," ",M40*60/M39)</f>
        <v xml:space="preserve"> </v>
      </c>
      <c r="N42" s="256"/>
      <c r="O42" s="53"/>
      <c r="P42" s="62"/>
    </row>
    <row r="43" spans="1:20" ht="15" customHeight="1" x14ac:dyDescent="0.3">
      <c r="A43" s="140"/>
      <c r="B43" s="43"/>
      <c r="C43" s="1457"/>
      <c r="D43" s="1462" t="s">
        <v>454</v>
      </c>
      <c r="E43" s="1451"/>
      <c r="F43" s="1451"/>
      <c r="G43" s="1451"/>
      <c r="H43" s="1451"/>
      <c r="I43" s="1451"/>
      <c r="J43" s="1451"/>
      <c r="K43" s="1452"/>
      <c r="L43" s="55"/>
      <c r="M43" s="160"/>
      <c r="N43" s="255"/>
      <c r="O43" s="53"/>
      <c r="P43" s="62"/>
    </row>
    <row r="44" spans="1:20" ht="15" customHeight="1" x14ac:dyDescent="0.3">
      <c r="A44" s="140"/>
      <c r="B44" s="44"/>
      <c r="C44" s="1457"/>
      <c r="D44" s="142"/>
      <c r="E44" s="143"/>
      <c r="F44" s="143"/>
      <c r="G44" s="143"/>
      <c r="H44" s="143"/>
      <c r="I44" s="143"/>
      <c r="J44" s="143"/>
      <c r="K44" s="144" t="s">
        <v>426</v>
      </c>
      <c r="L44" s="55"/>
      <c r="M44" s="161" t="str">
        <f>IF(OR(ISBLANK(M36),ISBLANK(M43))," ",M43/M36)</f>
        <v xml:space="preserve"> </v>
      </c>
      <c r="N44" s="256"/>
      <c r="O44" s="53"/>
      <c r="P44" s="62"/>
    </row>
    <row r="45" spans="1:20" ht="15" customHeight="1" x14ac:dyDescent="0.3">
      <c r="A45" s="140"/>
      <c r="B45" s="43"/>
      <c r="C45" s="1457"/>
      <c r="D45" s="1462" t="s">
        <v>3</v>
      </c>
      <c r="E45" s="1451"/>
      <c r="F45" s="1451"/>
      <c r="G45" s="1451"/>
      <c r="H45" s="1451"/>
      <c r="I45" s="1451"/>
      <c r="J45" s="1451"/>
      <c r="K45" s="1452"/>
      <c r="L45" s="55"/>
      <c r="M45" s="163" t="str">
        <f>IF(OR(ISBLANK(M39),ISBLANK(M43))," ",M43*60/M39)</f>
        <v xml:space="preserve"> </v>
      </c>
      <c r="N45" s="255"/>
      <c r="O45" s="53"/>
      <c r="P45" s="62"/>
    </row>
    <row r="46" spans="1:20" ht="15" customHeight="1" thickBot="1" x14ac:dyDescent="0.35">
      <c r="A46" s="140"/>
      <c r="B46" s="45"/>
      <c r="C46" s="1457"/>
      <c r="D46" s="1462" t="s">
        <v>4</v>
      </c>
      <c r="E46" s="1451"/>
      <c r="F46" s="1451"/>
      <c r="G46" s="1451"/>
      <c r="H46" s="1451"/>
      <c r="I46" s="1451"/>
      <c r="J46" s="1451"/>
      <c r="K46" s="1452"/>
      <c r="M46" s="304" t="str">
        <f>IF(OR(ISBLANK(M40),ISBLANK(M43))," ",AVERAGE(M40,M43))</f>
        <v xml:space="preserve"> </v>
      </c>
      <c r="N46" s="259"/>
      <c r="O46" s="53"/>
      <c r="P46" s="62"/>
    </row>
    <row r="47" spans="1:20" ht="16.5" customHeight="1" thickBot="1" x14ac:dyDescent="0.35">
      <c r="A47" s="140"/>
      <c r="B47" s="52"/>
      <c r="C47" s="1457"/>
      <c r="D47" s="142"/>
      <c r="E47" s="143"/>
      <c r="F47" s="143"/>
      <c r="G47" s="143"/>
      <c r="H47" s="143"/>
      <c r="I47" s="143"/>
      <c r="J47" s="1451" t="s">
        <v>427</v>
      </c>
      <c r="K47" s="1452"/>
      <c r="L47" s="55"/>
      <c r="M47" s="307" t="str">
        <f>IF(ISNUMBER(M46),((M41+M44)/2)," ")</f>
        <v xml:space="preserve"> </v>
      </c>
      <c r="N47" s="303" t="str">
        <f>IF(M35="NO",IF(ISNUMBER(M47),IF(M47&lt;0.06049,"Pass","Fail")," "),IF(ISNUMBER(M47),IF(M47&lt;0.08049,"Pass","Fail")," "))</f>
        <v xml:space="preserve"> </v>
      </c>
      <c r="O47" s="53"/>
      <c r="P47" s="62"/>
    </row>
    <row r="48" spans="1:20" ht="32.25" customHeight="1" thickBot="1" x14ac:dyDescent="0.35">
      <c r="A48" s="140"/>
      <c r="B48" s="52"/>
      <c r="C48" s="1459"/>
      <c r="D48" s="1453" t="s">
        <v>428</v>
      </c>
      <c r="E48" s="1454"/>
      <c r="F48" s="1454"/>
      <c r="G48" s="1454"/>
      <c r="H48" s="1454"/>
      <c r="I48" s="1454"/>
      <c r="J48" s="1454"/>
      <c r="K48" s="1455"/>
      <c r="L48" s="260"/>
      <c r="M48" s="305" t="str">
        <f>IF(ISNUMBER(M46),((M42+M45)/2)," ")</f>
        <v xml:space="preserve"> </v>
      </c>
      <c r="N48" s="261"/>
      <c r="O48" s="53"/>
      <c r="P48" s="62"/>
    </row>
    <row r="49" spans="1:16" ht="6.9" customHeight="1" x14ac:dyDescent="0.3">
      <c r="A49" s="140"/>
      <c r="B49" s="52"/>
      <c r="C49" s="14"/>
      <c r="D49" s="50"/>
      <c r="E49" s="50"/>
      <c r="F49" s="50"/>
      <c r="G49" s="50"/>
      <c r="H49" s="50"/>
      <c r="I49" s="50"/>
      <c r="J49" s="50"/>
      <c r="K49" s="51"/>
      <c r="L49" s="57"/>
      <c r="M49" s="52"/>
      <c r="N49" s="52"/>
      <c r="O49" s="53"/>
      <c r="P49" s="62"/>
    </row>
    <row r="50" spans="1:16" ht="16.2" thickBot="1" x14ac:dyDescent="0.35">
      <c r="A50" s="63"/>
      <c r="B50" s="67"/>
      <c r="C50" s="64"/>
      <c r="D50" s="64"/>
      <c r="E50" s="64"/>
      <c r="F50" s="64"/>
      <c r="G50" s="64"/>
      <c r="H50" s="64"/>
      <c r="I50" s="64"/>
      <c r="J50" s="64"/>
      <c r="K50" s="65"/>
      <c r="L50" s="66"/>
      <c r="M50" s="67"/>
      <c r="N50" s="67"/>
      <c r="O50" s="68"/>
      <c r="P50" s="69"/>
    </row>
    <row r="51" spans="1:16" x14ac:dyDescent="0.3">
      <c r="C51" s="14"/>
      <c r="D51" s="15" t="s">
        <v>1920</v>
      </c>
    </row>
    <row r="52" spans="1:16" x14ac:dyDescent="0.3">
      <c r="D52" s="15" t="s">
        <v>1921</v>
      </c>
    </row>
    <row r="53" spans="1:16" x14ac:dyDescent="0.3">
      <c r="C53" s="300"/>
      <c r="D53" s="15" t="s">
        <v>1922</v>
      </c>
      <c r="E53" s="300"/>
    </row>
  </sheetData>
  <mergeCells count="37">
    <mergeCell ref="D11:K11"/>
    <mergeCell ref="D16:K16"/>
    <mergeCell ref="D10:K10"/>
    <mergeCell ref="D14:K14"/>
    <mergeCell ref="C2:N2"/>
    <mergeCell ref="C4:O4"/>
    <mergeCell ref="D6:K6"/>
    <mergeCell ref="D8:K8"/>
    <mergeCell ref="D9:K9"/>
    <mergeCell ref="D34:K34"/>
    <mergeCell ref="D21:K21"/>
    <mergeCell ref="D29:K29"/>
    <mergeCell ref="D30:K30"/>
    <mergeCell ref="D46:K46"/>
    <mergeCell ref="D22:K22"/>
    <mergeCell ref="D24:K24"/>
    <mergeCell ref="D26:K26"/>
    <mergeCell ref="D27:K27"/>
    <mergeCell ref="D35:K35"/>
    <mergeCell ref="D37:K37"/>
    <mergeCell ref="D38:K38"/>
    <mergeCell ref="J47:K47"/>
    <mergeCell ref="D48:K48"/>
    <mergeCell ref="C21:C32"/>
    <mergeCell ref="C34:C48"/>
    <mergeCell ref="D12:J12"/>
    <mergeCell ref="D45:K45"/>
    <mergeCell ref="D40:K40"/>
    <mergeCell ref="D18:K18"/>
    <mergeCell ref="D19:K19"/>
    <mergeCell ref="D32:K32"/>
    <mergeCell ref="J23:K23"/>
    <mergeCell ref="J31:K31"/>
    <mergeCell ref="D36:K36"/>
    <mergeCell ref="J39:K39"/>
    <mergeCell ref="D42:K42"/>
    <mergeCell ref="D43:K43"/>
  </mergeCells>
  <phoneticPr fontId="5" type="noConversion"/>
  <conditionalFormatting sqref="N47">
    <cfRule type="containsText" dxfId="1534" priority="1" operator="containsText" text="Pass">
      <formula>NOT(ISERROR(SEARCH("Pass",N47)))</formula>
    </cfRule>
    <cfRule type="containsText" dxfId="1533" priority="2" operator="containsText" text="Fail">
      <formula>NOT(ISERROR(SEARCH("Fail",N47)))</formula>
    </cfRule>
  </conditionalFormatting>
  <dataValidations count="1">
    <dataValidation type="list" allowBlank="1" showInputMessage="1" showErrorMessage="1" sqref="M35" xr:uid="{08E1D7F8-D629-4A01-8EA1-81371769E971}">
      <formula1>$T$35:$T$36</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C554-CCCD-BE42-973D-F552A8500EE1}">
  <sheetPr codeName="Sheet12">
    <tabColor theme="7" tint="0.79998168889431442"/>
    <pageSetUpPr fitToPage="1"/>
  </sheetPr>
  <dimension ref="A1:U37"/>
  <sheetViews>
    <sheetView zoomScaleNormal="100" workbookViewId="0">
      <selection activeCell="B2" sqref="B2"/>
    </sheetView>
  </sheetViews>
  <sheetFormatPr defaultColWidth="9.09765625" defaultRowHeight="13.2" x14ac:dyDescent="0.25"/>
  <cols>
    <col min="1" max="1" width="6.59765625" style="343" customWidth="1"/>
    <col min="2" max="2" width="20.09765625" style="343" customWidth="1"/>
    <col min="3" max="3" width="17.8984375" style="343" customWidth="1"/>
    <col min="4" max="4" width="12" style="343" customWidth="1"/>
    <col min="5" max="5" width="23.8984375" style="343" bestFit="1" customWidth="1"/>
    <col min="6" max="6" width="13.3984375" style="343" bestFit="1" customWidth="1"/>
    <col min="7" max="7" width="12.8984375" style="343" customWidth="1"/>
    <col min="8" max="8" width="12.09765625" style="343" bestFit="1" customWidth="1"/>
    <col min="9" max="9" width="8.8984375" style="343" customWidth="1"/>
    <col min="10" max="10" width="19.5" style="343" customWidth="1"/>
    <col min="11" max="11" width="13.59765625" style="343" bestFit="1" customWidth="1"/>
    <col min="12" max="12" width="11.59765625" style="343" bestFit="1" customWidth="1"/>
    <col min="13" max="13" width="25.59765625" style="343" customWidth="1"/>
    <col min="14" max="14" width="2.59765625" style="343" customWidth="1"/>
    <col min="15" max="16384" width="9.09765625" style="343"/>
  </cols>
  <sheetData>
    <row r="1" spans="1:21" ht="13.8" thickBot="1" x14ac:dyDescent="0.3">
      <c r="A1" s="601"/>
    </row>
    <row r="2" spans="1:21" ht="79.349999999999994" customHeight="1" thickBot="1" x14ac:dyDescent="0.3">
      <c r="A2" s="877"/>
      <c r="B2" s="837" t="s">
        <v>1062</v>
      </c>
      <c r="C2" s="1786" t="s">
        <v>1307</v>
      </c>
      <c r="D2" s="1786"/>
      <c r="E2" s="1786"/>
      <c r="F2" s="1786"/>
      <c r="G2" s="1786"/>
      <c r="H2" s="1786"/>
      <c r="I2" s="1786"/>
      <c r="J2" s="1786"/>
      <c r="K2" s="1786"/>
      <c r="L2" s="1786"/>
      <c r="M2" s="1787"/>
      <c r="N2" s="1032"/>
      <c r="O2" s="604"/>
      <c r="P2" s="604"/>
      <c r="Q2" s="604"/>
      <c r="R2" s="604"/>
      <c r="S2" s="604"/>
      <c r="T2" s="604"/>
      <c r="U2" s="604"/>
    </row>
    <row r="3" spans="1:21" x14ac:dyDescent="0.25">
      <c r="O3" s="604"/>
      <c r="P3" s="604"/>
      <c r="Q3" s="604"/>
      <c r="R3" s="604"/>
      <c r="S3" s="604"/>
      <c r="T3" s="604"/>
      <c r="U3" s="604"/>
    </row>
    <row r="4" spans="1:21" x14ac:dyDescent="0.25">
      <c r="B4" s="349" t="s">
        <v>1308</v>
      </c>
      <c r="J4" s="1033"/>
      <c r="K4" s="1033"/>
      <c r="L4" s="1033"/>
      <c r="M4" s="1034"/>
      <c r="O4" s="604"/>
      <c r="P4" s="604"/>
      <c r="Q4" s="604"/>
      <c r="R4" s="604"/>
      <c r="S4" s="604"/>
      <c r="T4" s="604"/>
      <c r="U4" s="604"/>
    </row>
    <row r="5" spans="1:21" ht="13.8" thickBot="1" x14ac:dyDescent="0.3">
      <c r="B5" s="349"/>
      <c r="J5" s="1033"/>
      <c r="K5" s="1033"/>
      <c r="L5" s="1033"/>
      <c r="M5" s="1034"/>
      <c r="O5" s="604"/>
      <c r="P5" s="604"/>
      <c r="Q5" s="604"/>
      <c r="R5" s="604"/>
      <c r="S5" s="604"/>
      <c r="T5" s="604"/>
      <c r="U5" s="604"/>
    </row>
    <row r="6" spans="1:21" ht="12.9" customHeight="1" thickBot="1" x14ac:dyDescent="0.3">
      <c r="B6" s="837" t="s">
        <v>1062</v>
      </c>
      <c r="C6" s="1705" t="s">
        <v>1309</v>
      </c>
      <c r="D6" s="1705"/>
      <c r="E6" s="1705"/>
      <c r="F6" s="1705"/>
      <c r="G6" s="1705"/>
      <c r="H6" s="1705"/>
      <c r="I6" s="1705"/>
      <c r="J6" s="1705"/>
      <c r="K6" s="1705"/>
      <c r="L6" s="1705"/>
      <c r="M6" s="1706"/>
      <c r="N6" s="313"/>
      <c r="O6" s="1772" t="s">
        <v>1158</v>
      </c>
      <c r="P6" s="1773"/>
      <c r="Q6" s="1773"/>
      <c r="R6" s="1773"/>
      <c r="S6" s="1773"/>
      <c r="T6" s="1774"/>
      <c r="U6" s="604"/>
    </row>
    <row r="7" spans="1:21" ht="13.8" thickBot="1" x14ac:dyDescent="0.3">
      <c r="B7" s="349"/>
      <c r="J7" s="1033"/>
      <c r="K7" s="1033"/>
      <c r="L7" s="1033"/>
      <c r="M7" s="1034"/>
      <c r="O7" s="1775"/>
      <c r="P7" s="1776"/>
      <c r="Q7" s="1776"/>
      <c r="R7" s="1776"/>
      <c r="S7" s="1776"/>
      <c r="T7" s="1777"/>
      <c r="U7" s="604"/>
    </row>
    <row r="8" spans="1:21" s="614" customFormat="1" ht="30" customHeight="1" thickBot="1" x14ac:dyDescent="0.35">
      <c r="A8" s="801"/>
      <c r="B8" s="1035" t="s">
        <v>1310</v>
      </c>
      <c r="C8" s="1036" t="s">
        <v>1311</v>
      </c>
      <c r="D8" s="1036" t="s">
        <v>1226</v>
      </c>
      <c r="E8" s="1037" t="s">
        <v>1228</v>
      </c>
      <c r="F8" s="1037" t="s">
        <v>1229</v>
      </c>
      <c r="G8" s="1038" t="s">
        <v>1312</v>
      </c>
      <c r="I8" s="1039"/>
      <c r="J8" s="696" t="s">
        <v>1231</v>
      </c>
      <c r="K8" s="1037" t="s">
        <v>1232</v>
      </c>
      <c r="L8" s="1037" t="s">
        <v>1233</v>
      </c>
      <c r="M8" s="1040" t="s">
        <v>1265</v>
      </c>
      <c r="N8" s="1039"/>
      <c r="O8" s="637"/>
      <c r="P8" s="1041"/>
      <c r="Q8" s="1041"/>
      <c r="R8" s="1041"/>
      <c r="S8" s="1041"/>
      <c r="T8" s="639"/>
      <c r="U8" s="640"/>
    </row>
    <row r="9" spans="1:21" s="1042" customFormat="1" ht="13.8" hidden="1" thickBot="1" x14ac:dyDescent="0.35">
      <c r="B9" s="1043" t="s">
        <v>554</v>
      </c>
      <c r="C9" s="1044" t="s">
        <v>1105</v>
      </c>
      <c r="D9" s="1044" t="s">
        <v>1106</v>
      </c>
      <c r="E9" s="1045" t="s">
        <v>1107</v>
      </c>
      <c r="F9" s="1045" t="s">
        <v>1108</v>
      </c>
      <c r="G9" s="1046" t="s">
        <v>1109</v>
      </c>
      <c r="H9" s="1042" t="s">
        <v>1110</v>
      </c>
      <c r="I9" s="804" t="s">
        <v>1111</v>
      </c>
      <c r="J9" s="1047" t="s">
        <v>1112</v>
      </c>
      <c r="K9" s="1048" t="s">
        <v>1113</v>
      </c>
      <c r="L9" s="1048" t="s">
        <v>1114</v>
      </c>
      <c r="M9" s="1049" t="s">
        <v>1115</v>
      </c>
      <c r="N9" s="1050"/>
      <c r="O9" s="1051"/>
      <c r="P9" s="1052"/>
      <c r="Q9" s="1052"/>
      <c r="R9" s="1053"/>
      <c r="S9" s="1054"/>
      <c r="T9" s="1055"/>
      <c r="U9" s="1050"/>
    </row>
    <row r="10" spans="1:21" s="1042" customFormat="1" x14ac:dyDescent="0.3">
      <c r="B10" s="1056"/>
      <c r="C10" s="1057"/>
      <c r="D10" s="1057"/>
      <c r="E10" s="1058"/>
      <c r="F10" s="1058"/>
      <c r="G10" s="1059"/>
      <c r="I10" s="804"/>
      <c r="J10" s="1060"/>
      <c r="K10" s="1061"/>
      <c r="L10" s="1061"/>
      <c r="M10" s="1062"/>
      <c r="N10" s="1050"/>
      <c r="O10" s="1051"/>
      <c r="P10" s="1052"/>
      <c r="Q10" s="1052"/>
      <c r="R10" s="1053"/>
      <c r="S10" s="1054"/>
      <c r="T10" s="1055"/>
      <c r="U10" s="1050"/>
    </row>
    <row r="11" spans="1:21" s="1042" customFormat="1" x14ac:dyDescent="0.3">
      <c r="B11" s="1063"/>
      <c r="C11" s="1064"/>
      <c r="D11" s="1064"/>
      <c r="E11" s="1065"/>
      <c r="F11" s="1065"/>
      <c r="G11" s="1066"/>
      <c r="I11" s="804"/>
      <c r="J11" s="1067"/>
      <c r="K11" s="1068"/>
      <c r="L11" s="1068"/>
      <c r="M11" s="991"/>
      <c r="N11" s="707"/>
      <c r="O11" s="1051"/>
      <c r="P11" s="1052"/>
      <c r="Q11" s="1052"/>
      <c r="R11" s="1053"/>
      <c r="S11" s="1052"/>
      <c r="T11" s="1055"/>
      <c r="U11" s="1050"/>
    </row>
    <row r="12" spans="1:21" s="1042" customFormat="1" x14ac:dyDescent="0.3">
      <c r="B12" s="1063"/>
      <c r="C12" s="1064"/>
      <c r="D12" s="1064"/>
      <c r="E12" s="1065"/>
      <c r="F12" s="1065"/>
      <c r="G12" s="1066"/>
      <c r="I12" s="804"/>
      <c r="J12" s="1067"/>
      <c r="K12" s="1068"/>
      <c r="L12" s="1068"/>
      <c r="M12" s="991"/>
      <c r="N12" s="707"/>
      <c r="O12" s="1051"/>
      <c r="P12" s="1052"/>
      <c r="Q12" s="1052"/>
      <c r="R12" s="1053"/>
      <c r="S12" s="1052"/>
      <c r="T12" s="1055"/>
      <c r="U12" s="1050"/>
    </row>
    <row r="13" spans="1:21" s="1042" customFormat="1" ht="13.8" thickBot="1" x14ac:dyDescent="0.35">
      <c r="B13" s="1063"/>
      <c r="C13" s="1064"/>
      <c r="D13" s="1064"/>
      <c r="E13" s="1065"/>
      <c r="F13" s="1065"/>
      <c r="G13" s="1066"/>
      <c r="I13" s="804"/>
      <c r="J13" s="1067"/>
      <c r="K13" s="1068"/>
      <c r="L13" s="1068"/>
      <c r="M13" s="991"/>
      <c r="N13" s="707"/>
      <c r="O13" s="1069"/>
      <c r="P13" s="1070"/>
      <c r="Q13" s="1070"/>
      <c r="R13" s="1071"/>
      <c r="S13" s="1070"/>
      <c r="T13" s="1072"/>
      <c r="U13" s="1050"/>
    </row>
    <row r="14" spans="1:21" ht="13.8" thickBot="1" x14ac:dyDescent="0.3">
      <c r="B14" s="1073"/>
      <c r="C14" s="1074"/>
      <c r="D14" s="1074"/>
      <c r="E14" s="1075"/>
      <c r="F14" s="1075"/>
      <c r="G14" s="1076"/>
      <c r="H14" s="1042"/>
      <c r="I14" s="707"/>
      <c r="J14" s="1077"/>
      <c r="K14" s="1078"/>
      <c r="L14" s="1079"/>
      <c r="M14" s="1080"/>
      <c r="N14" s="1081"/>
      <c r="O14" s="604"/>
      <c r="P14" s="604"/>
      <c r="Q14" s="604"/>
      <c r="R14" s="604"/>
      <c r="S14" s="604"/>
      <c r="T14" s="604"/>
      <c r="U14" s="604"/>
    </row>
    <row r="15" spans="1:21" x14ac:dyDescent="0.25">
      <c r="B15" s="865"/>
      <c r="C15" s="865"/>
      <c r="D15" s="866"/>
      <c r="E15" s="866"/>
      <c r="F15" s="865"/>
      <c r="G15" s="1082"/>
      <c r="I15" s="1083"/>
      <c r="J15" s="1083"/>
      <c r="K15" s="1083"/>
      <c r="L15" s="1083"/>
      <c r="M15" s="1084"/>
      <c r="O15" s="604"/>
      <c r="P15" s="604"/>
      <c r="Q15" s="604"/>
      <c r="R15" s="604"/>
      <c r="S15" s="604"/>
      <c r="T15" s="604"/>
      <c r="U15" s="604"/>
    </row>
    <row r="16" spans="1:21" x14ac:dyDescent="0.25">
      <c r="O16" s="604"/>
      <c r="P16" s="604"/>
      <c r="Q16" s="604"/>
      <c r="R16" s="604"/>
      <c r="S16" s="604"/>
      <c r="T16" s="604"/>
      <c r="U16" s="604"/>
    </row>
    <row r="17" spans="1:21" x14ac:dyDescent="0.25">
      <c r="B17" s="349" t="s">
        <v>1313</v>
      </c>
      <c r="O17" s="604"/>
      <c r="P17" s="604"/>
      <c r="Q17" s="604"/>
      <c r="R17" s="604"/>
      <c r="S17" s="604"/>
      <c r="T17" s="604"/>
      <c r="U17" s="604"/>
    </row>
    <row r="18" spans="1:21" ht="38.85" customHeight="1" thickBot="1" x14ac:dyDescent="0.3">
      <c r="B18" s="349"/>
      <c r="N18" s="313"/>
      <c r="O18" s="604"/>
      <c r="P18" s="604"/>
      <c r="Q18" s="604"/>
      <c r="R18" s="604"/>
      <c r="S18" s="604"/>
      <c r="T18" s="604"/>
      <c r="U18" s="604"/>
    </row>
    <row r="19" spans="1:21" ht="13.8" thickBot="1" x14ac:dyDescent="0.3">
      <c r="B19" s="837" t="s">
        <v>1062</v>
      </c>
      <c r="C19" s="1705" t="s">
        <v>1314</v>
      </c>
      <c r="D19" s="1705"/>
      <c r="E19" s="1705"/>
      <c r="F19" s="1705"/>
      <c r="G19" s="1705"/>
      <c r="H19" s="1705"/>
      <c r="I19" s="1705"/>
      <c r="J19" s="1705"/>
      <c r="K19" s="1705"/>
      <c r="L19" s="1705"/>
      <c r="M19" s="1706"/>
      <c r="O19" s="604"/>
      <c r="P19" s="604"/>
      <c r="Q19" s="604"/>
      <c r="R19" s="604"/>
      <c r="S19" s="604"/>
      <c r="T19" s="604"/>
      <c r="U19" s="604"/>
    </row>
    <row r="20" spans="1:21" x14ac:dyDescent="0.25">
      <c r="B20" s="877"/>
      <c r="C20" s="878"/>
      <c r="D20" s="878"/>
      <c r="E20" s="878"/>
      <c r="F20" s="878"/>
      <c r="G20" s="878"/>
      <c r="H20" s="878"/>
      <c r="I20" s="878"/>
      <c r="J20" s="878"/>
      <c r="O20" s="604"/>
      <c r="P20" s="604"/>
      <c r="Q20" s="604"/>
      <c r="R20" s="604"/>
      <c r="S20" s="604"/>
      <c r="T20" s="604"/>
      <c r="U20" s="604"/>
    </row>
    <row r="21" spans="1:21" ht="16.5" customHeight="1" thickBot="1" x14ac:dyDescent="0.3">
      <c r="B21" s="1871" t="s">
        <v>1315</v>
      </c>
      <c r="C21" s="1871"/>
      <c r="D21" s="1871"/>
      <c r="E21" s="601"/>
      <c r="O21" s="604"/>
      <c r="P21" s="604"/>
      <c r="Q21" s="604"/>
      <c r="R21" s="604"/>
      <c r="S21" s="604"/>
      <c r="T21" s="604"/>
      <c r="U21" s="604"/>
    </row>
    <row r="22" spans="1:21" ht="13.8" thickBot="1" x14ac:dyDescent="0.3">
      <c r="C22" s="1872" t="s">
        <v>1316</v>
      </c>
      <c r="D22" s="1873"/>
      <c r="E22" s="1085"/>
      <c r="F22" s="1874" t="str">
        <f>IF(E22="Yes","If yes, list all showerheads in table such that the total per compartment can be verified","")</f>
        <v/>
      </c>
      <c r="G22" s="1874"/>
      <c r="H22" s="1874"/>
      <c r="I22" s="1874"/>
      <c r="J22" s="1874"/>
      <c r="K22" s="1874"/>
      <c r="L22" s="1874"/>
      <c r="O22" s="1772" t="s">
        <v>1158</v>
      </c>
      <c r="P22" s="1773"/>
      <c r="Q22" s="1773"/>
      <c r="R22" s="1773"/>
      <c r="S22" s="1773"/>
      <c r="T22" s="1774"/>
      <c r="U22" s="604"/>
    </row>
    <row r="23" spans="1:21" ht="29.25" customHeight="1" thickBot="1" x14ac:dyDescent="0.3">
      <c r="D23" s="1086"/>
      <c r="E23" s="1087"/>
      <c r="N23" s="1039"/>
      <c r="O23" s="1775"/>
      <c r="P23" s="1776"/>
      <c r="Q23" s="1776"/>
      <c r="R23" s="1776"/>
      <c r="S23" s="1776"/>
      <c r="T23" s="1777"/>
      <c r="U23" s="604"/>
    </row>
    <row r="24" spans="1:21" s="614" customFormat="1" ht="30" customHeight="1" thickBot="1" x14ac:dyDescent="0.3">
      <c r="B24" s="349"/>
      <c r="C24" s="343"/>
      <c r="D24" s="343"/>
      <c r="E24" s="1088" t="s">
        <v>1317</v>
      </c>
      <c r="F24" s="1868" t="s">
        <v>1318</v>
      </c>
      <c r="G24" s="1869"/>
      <c r="H24" s="1870"/>
      <c r="I24" s="697"/>
      <c r="J24" s="1033"/>
      <c r="K24" s="1039"/>
      <c r="L24" s="1039"/>
      <c r="M24" s="1039"/>
      <c r="O24" s="637"/>
      <c r="P24" s="638"/>
      <c r="Q24" s="638"/>
      <c r="R24" s="638"/>
      <c r="S24" s="638"/>
      <c r="T24" s="639"/>
      <c r="U24" s="640"/>
    </row>
    <row r="25" spans="1:21" s="1042" customFormat="1" ht="27" thickBot="1" x14ac:dyDescent="0.35">
      <c r="A25"/>
      <c r="B25" s="1035" t="s">
        <v>1319</v>
      </c>
      <c r="C25" s="1036" t="s">
        <v>1311</v>
      </c>
      <c r="D25" s="1036" t="s">
        <v>1320</v>
      </c>
      <c r="E25" s="1035" t="s">
        <v>1321</v>
      </c>
      <c r="F25" s="696" t="s">
        <v>1228</v>
      </c>
      <c r="G25" s="1037" t="s">
        <v>1229</v>
      </c>
      <c r="H25" s="1040" t="s">
        <v>1322</v>
      </c>
      <c r="I25" s="614"/>
      <c r="J25" s="696" t="s">
        <v>1231</v>
      </c>
      <c r="K25" s="1037" t="s">
        <v>1232</v>
      </c>
      <c r="L25" s="1037" t="s">
        <v>1233</v>
      </c>
      <c r="M25" s="1040" t="s">
        <v>1265</v>
      </c>
      <c r="O25" s="1051"/>
      <c r="P25" s="1054"/>
      <c r="Q25" s="1054"/>
      <c r="R25" s="1054"/>
      <c r="S25" s="1054"/>
      <c r="T25" s="1055"/>
      <c r="U25" s="1050"/>
    </row>
    <row r="26" spans="1:21" s="1042" customFormat="1" ht="13.8" hidden="1" thickBot="1" x14ac:dyDescent="0.35">
      <c r="B26" s="1043" t="s">
        <v>554</v>
      </c>
      <c r="C26" s="1044" t="s">
        <v>1105</v>
      </c>
      <c r="D26" s="1044" t="s">
        <v>1106</v>
      </c>
      <c r="E26" s="1089" t="s">
        <v>1107</v>
      </c>
      <c r="F26" s="1090" t="s">
        <v>1108</v>
      </c>
      <c r="G26" s="1044" t="s">
        <v>1109</v>
      </c>
      <c r="H26" s="1091" t="s">
        <v>1110</v>
      </c>
      <c r="I26" s="1042" t="s">
        <v>1111</v>
      </c>
      <c r="J26" s="1047" t="s">
        <v>1112</v>
      </c>
      <c r="K26" s="1048" t="s">
        <v>1113</v>
      </c>
      <c r="L26" s="1048" t="s">
        <v>1114</v>
      </c>
      <c r="M26" s="1049" t="s">
        <v>1115</v>
      </c>
      <c r="O26" s="1051"/>
      <c r="P26" s="1054"/>
      <c r="Q26" s="1054"/>
      <c r="R26" s="1054"/>
      <c r="S26" s="1054"/>
      <c r="T26" s="1055"/>
      <c r="U26" s="1050"/>
    </row>
    <row r="27" spans="1:21" s="1042" customFormat="1" x14ac:dyDescent="0.3">
      <c r="B27" s="1056"/>
      <c r="C27" s="1057"/>
      <c r="D27" s="1057"/>
      <c r="E27" s="1092"/>
      <c r="F27" s="1093"/>
      <c r="G27" s="1057"/>
      <c r="H27" s="1094"/>
      <c r="J27" s="1060"/>
      <c r="K27" s="1061"/>
      <c r="L27" s="1061"/>
      <c r="M27" s="1062"/>
      <c r="O27" s="1051"/>
      <c r="P27" s="1054"/>
      <c r="Q27" s="1054"/>
      <c r="R27" s="1054"/>
      <c r="S27" s="1054"/>
      <c r="T27" s="1055"/>
      <c r="U27" s="1050"/>
    </row>
    <row r="28" spans="1:21" s="1042" customFormat="1" ht="13.8" thickBot="1" x14ac:dyDescent="0.35">
      <c r="B28" s="1063"/>
      <c r="C28" s="1064"/>
      <c r="D28" s="1064"/>
      <c r="E28" s="1095"/>
      <c r="F28" s="1096"/>
      <c r="G28" s="1064"/>
      <c r="H28" s="1097"/>
      <c r="J28" s="1067"/>
      <c r="K28" s="1068"/>
      <c r="L28" s="1068"/>
      <c r="M28" s="991"/>
      <c r="O28" s="1069"/>
      <c r="P28" s="1098"/>
      <c r="Q28" s="1098"/>
      <c r="R28" s="1098"/>
      <c r="S28" s="1098"/>
      <c r="T28" s="1072"/>
      <c r="U28" s="1050"/>
    </row>
    <row r="29" spans="1:21" x14ac:dyDescent="0.25">
      <c r="B29" s="1063"/>
      <c r="C29" s="1064"/>
      <c r="D29" s="1064"/>
      <c r="E29" s="1095"/>
      <c r="F29" s="1096"/>
      <c r="G29" s="1064"/>
      <c r="H29" s="1097"/>
      <c r="I29" s="1042"/>
      <c r="J29" s="1067"/>
      <c r="K29" s="1068"/>
      <c r="L29" s="1068"/>
      <c r="M29" s="991"/>
      <c r="O29" s="604"/>
      <c r="P29" s="604"/>
      <c r="Q29" s="604"/>
      <c r="R29" s="604"/>
      <c r="S29" s="604"/>
      <c r="T29" s="604"/>
      <c r="U29" s="604"/>
    </row>
    <row r="30" spans="1:21" ht="13.8" thickBot="1" x14ac:dyDescent="0.3">
      <c r="B30" s="1073"/>
      <c r="C30" s="1074"/>
      <c r="D30" s="1074"/>
      <c r="E30" s="1099"/>
      <c r="F30" s="1099"/>
      <c r="G30" s="1074"/>
      <c r="H30" s="1100"/>
      <c r="I30" s="1042"/>
      <c r="J30" s="1077"/>
      <c r="K30" s="1079"/>
      <c r="L30" s="1079"/>
      <c r="M30" s="1080"/>
      <c r="O30" s="604"/>
      <c r="P30" s="604"/>
      <c r="Q30" s="604"/>
      <c r="R30" s="604"/>
      <c r="S30" s="604"/>
      <c r="T30" s="604"/>
      <c r="U30" s="604"/>
    </row>
    <row r="31" spans="1:21" x14ac:dyDescent="0.25">
      <c r="B31" s="1039"/>
      <c r="C31" s="1039"/>
      <c r="D31" s="1039"/>
      <c r="E31" s="1039"/>
      <c r="F31" s="1039"/>
      <c r="G31" s="1039"/>
      <c r="H31" s="1039"/>
      <c r="J31" s="1039"/>
      <c r="K31" s="1039"/>
      <c r="L31" s="1039"/>
      <c r="M31" s="1039"/>
      <c r="O31" s="604"/>
      <c r="P31" s="604"/>
      <c r="Q31" s="604"/>
      <c r="R31" s="604"/>
      <c r="S31" s="604"/>
      <c r="T31" s="604"/>
      <c r="U31" s="604"/>
    </row>
    <row r="32" spans="1:21" x14ac:dyDescent="0.25">
      <c r="B32" s="1087"/>
      <c r="C32" s="1101"/>
      <c r="D32" s="1087"/>
      <c r="E32" s="1102"/>
      <c r="F32" s="1087"/>
      <c r="G32" s="1101"/>
      <c r="H32" s="1101"/>
      <c r="J32" s="1039"/>
      <c r="K32" s="1039"/>
      <c r="L32" s="1039"/>
      <c r="M32" s="1039"/>
      <c r="O32" s="604"/>
      <c r="P32" s="604"/>
      <c r="Q32" s="604"/>
      <c r="R32" s="604"/>
      <c r="S32" s="604"/>
      <c r="T32" s="604"/>
      <c r="U32" s="604"/>
    </row>
    <row r="33" spans="2:14" x14ac:dyDescent="0.25">
      <c r="B33" s="1087"/>
      <c r="C33" s="1101"/>
      <c r="D33" s="1087"/>
      <c r="E33" s="1102"/>
      <c r="F33" s="1087"/>
      <c r="G33" s="1101"/>
      <c r="H33" s="1101"/>
      <c r="J33" s="1103"/>
      <c r="K33" s="1103"/>
      <c r="L33" s="1084"/>
      <c r="M33" s="1104"/>
    </row>
    <row r="34" spans="2:14" x14ac:dyDescent="0.25">
      <c r="B34" s="1087"/>
      <c r="C34" s="1101"/>
      <c r="D34" s="1087"/>
      <c r="E34" s="1102"/>
      <c r="F34" s="1087"/>
      <c r="G34" s="1101"/>
      <c r="H34" s="1101"/>
      <c r="J34" s="1103"/>
      <c r="K34" s="1103"/>
      <c r="L34" s="1084"/>
      <c r="M34" s="1104"/>
    </row>
    <row r="35" spans="2:14" x14ac:dyDescent="0.25">
      <c r="B35" s="865"/>
      <c r="C35" s="865"/>
      <c r="D35" s="866"/>
      <c r="E35" s="866"/>
      <c r="F35" s="866"/>
      <c r="G35" s="865"/>
      <c r="H35" s="1101"/>
      <c r="J35" s="1103"/>
      <c r="K35" s="1103"/>
      <c r="L35" s="1084"/>
      <c r="M35" s="1081"/>
      <c r="N35" s="1081"/>
    </row>
    <row r="36" spans="2:14" x14ac:dyDescent="0.25">
      <c r="K36" s="1103"/>
      <c r="L36" s="1103"/>
      <c r="M36" s="1084"/>
      <c r="N36" s="1081"/>
    </row>
    <row r="37" spans="2:14" x14ac:dyDescent="0.25">
      <c r="K37" s="1083"/>
      <c r="L37" s="1083"/>
      <c r="M37" s="1084"/>
    </row>
  </sheetData>
  <sheetProtection algorithmName="SHA-512" hashValue="9RMbGap/8P0wLGBnfcPhtVQ4eED2Tm5dxK2UgGX8h+esHqZOezTbdazi5iJ35WISdkU2AKdcUGDbFROs37YQwA==" saltValue="PT2QH5eTjq6M+2TKTNcg+Q==" spinCount="100000" sheet="1" formatColumns="0" formatRows="0" insertColumns="0" insertRows="0"/>
  <mergeCells count="9">
    <mergeCell ref="F24:H24"/>
    <mergeCell ref="C2:M2"/>
    <mergeCell ref="C6:M6"/>
    <mergeCell ref="O6:T7"/>
    <mergeCell ref="C19:M19"/>
    <mergeCell ref="B21:D21"/>
    <mergeCell ref="C22:D22"/>
    <mergeCell ref="F22:L22"/>
    <mergeCell ref="O22:T23"/>
  </mergeCells>
  <dataValidations count="2">
    <dataValidation type="list" allowBlank="1" showInputMessage="1" showErrorMessage="1" sqref="P13:Q13 K37:L37 J14:K14 I14:I15 J15:L15" xr:uid="{8CFE0759-0776-8D44-9AA1-6DBFA3FD8B45}">
      <formula1>$S$50:$S$53</formula1>
    </dataValidation>
    <dataValidation type="list" allowBlank="1" showInputMessage="1" showErrorMessage="1" sqref="M36:M37 R9:R13 Q9:Q12 K33:K35 L33:L36 M15 L10:L14 K10:K13 K27:L30" xr:uid="{DB0F7A56-83F4-9A4F-8741-1D04AA59B9A6}">
      <formula1>"Yes,No,NA"</formula1>
    </dataValidation>
  </dataValidations>
  <pageMargins left="0.7" right="0.7" top="0.75" bottom="0.75" header="0.3" footer="0.3"/>
  <pageSetup scale="52" fitToHeight="0" orientation="landscape" verticalDpi="1200"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9F50-9693-524D-8CCF-6BF56D95644E}">
  <sheetPr codeName="Sheet13">
    <tabColor theme="7" tint="0.79998168889431442"/>
    <pageSetUpPr fitToPage="1"/>
  </sheetPr>
  <dimension ref="A1:V33"/>
  <sheetViews>
    <sheetView zoomScaleNormal="100" workbookViewId="0">
      <selection activeCell="B2" sqref="B2"/>
    </sheetView>
  </sheetViews>
  <sheetFormatPr defaultColWidth="9.09765625" defaultRowHeight="13.2" x14ac:dyDescent="0.25"/>
  <cols>
    <col min="1" max="1" width="6.59765625" style="343" customWidth="1"/>
    <col min="2" max="2" width="12" style="343" customWidth="1"/>
    <col min="3" max="3" width="14.5" style="343" customWidth="1"/>
    <col min="4" max="4" width="18.3984375" style="343" customWidth="1"/>
    <col min="5" max="5" width="18.59765625" style="343" customWidth="1"/>
    <col min="6" max="6" width="11" style="343" customWidth="1"/>
    <col min="7" max="7" width="9.59765625" style="343" customWidth="1"/>
    <col min="8" max="8" width="16.3984375" style="343" customWidth="1"/>
    <col min="9" max="9" width="11.09765625" style="343" customWidth="1"/>
    <col min="10" max="10" width="18.09765625" style="343" customWidth="1"/>
    <col min="11" max="11" width="15" style="343" customWidth="1"/>
    <col min="12" max="12" width="13.59765625" style="343" customWidth="1"/>
    <col min="13" max="13" width="22.59765625" style="343" customWidth="1"/>
    <col min="14" max="14" width="2.59765625" style="343" customWidth="1"/>
    <col min="15" max="16384" width="9.09765625" style="343"/>
  </cols>
  <sheetData>
    <row r="1" spans="1:22" ht="13.8" thickBot="1" x14ac:dyDescent="0.3"/>
    <row r="2" spans="1:22" ht="65.25" customHeight="1" thickBot="1" x14ac:dyDescent="0.3">
      <c r="A2" s="601"/>
      <c r="B2" s="837" t="s">
        <v>1062</v>
      </c>
      <c r="C2" s="1786" t="s">
        <v>1323</v>
      </c>
      <c r="D2" s="1786"/>
      <c r="E2" s="1786"/>
      <c r="F2" s="1786"/>
      <c r="G2" s="1786"/>
      <c r="H2" s="1786"/>
      <c r="I2" s="1786"/>
      <c r="J2" s="1786"/>
      <c r="K2" s="1786"/>
      <c r="L2" s="1786"/>
      <c r="M2" s="1787"/>
      <c r="N2" s="1032"/>
      <c r="O2" s="604"/>
      <c r="P2" s="604"/>
      <c r="Q2" s="604"/>
      <c r="R2" s="604"/>
      <c r="S2" s="604"/>
      <c r="T2" s="604"/>
      <c r="U2" s="604"/>
      <c r="V2" s="604"/>
    </row>
    <row r="3" spans="1:22" x14ac:dyDescent="0.25">
      <c r="A3" s="601"/>
      <c r="O3" s="604"/>
      <c r="P3" s="604"/>
      <c r="Q3" s="604"/>
      <c r="R3" s="604"/>
      <c r="S3" s="604"/>
      <c r="T3" s="604"/>
      <c r="U3" s="604"/>
      <c r="V3" s="604"/>
    </row>
    <row r="4" spans="1:22" x14ac:dyDescent="0.25">
      <c r="B4" s="349" t="s">
        <v>1324</v>
      </c>
      <c r="O4" s="604"/>
      <c r="P4" s="604"/>
      <c r="Q4" s="604"/>
      <c r="R4" s="604"/>
      <c r="S4" s="604"/>
      <c r="T4" s="604"/>
      <c r="U4" s="604"/>
      <c r="V4" s="604"/>
    </row>
    <row r="5" spans="1:22" ht="13.8" thickBot="1" x14ac:dyDescent="0.3">
      <c r="B5" s="349"/>
      <c r="O5" s="604"/>
      <c r="P5" s="604"/>
      <c r="Q5" s="604"/>
      <c r="R5" s="604"/>
      <c r="S5" s="604"/>
      <c r="T5" s="604"/>
      <c r="U5" s="604"/>
      <c r="V5" s="604"/>
    </row>
    <row r="6" spans="1:22" ht="13.8" thickBot="1" x14ac:dyDescent="0.3">
      <c r="B6" s="837" t="s">
        <v>1062</v>
      </c>
      <c r="C6" s="1791" t="s">
        <v>1325</v>
      </c>
      <c r="D6" s="1791"/>
      <c r="E6" s="1791"/>
      <c r="F6" s="1791"/>
      <c r="G6" s="1791"/>
      <c r="H6" s="1791"/>
      <c r="I6" s="1791"/>
      <c r="J6" s="1791"/>
      <c r="K6" s="1791"/>
      <c r="L6" s="1791"/>
      <c r="M6" s="1792"/>
      <c r="O6" s="1772" t="s">
        <v>1158</v>
      </c>
      <c r="P6" s="1773"/>
      <c r="Q6" s="1773"/>
      <c r="R6" s="1773"/>
      <c r="S6" s="1773"/>
      <c r="T6" s="1774"/>
      <c r="U6" s="604"/>
      <c r="V6" s="604"/>
    </row>
    <row r="7" spans="1:22" ht="13.8" thickBot="1" x14ac:dyDescent="0.3">
      <c r="O7" s="1775"/>
      <c r="P7" s="1776"/>
      <c r="Q7" s="1776"/>
      <c r="R7" s="1776"/>
      <c r="S7" s="1776"/>
      <c r="T7" s="1777"/>
      <c r="U7" s="604"/>
      <c r="V7" s="604"/>
    </row>
    <row r="8" spans="1:22" ht="33.75" customHeight="1" thickBot="1" x14ac:dyDescent="0.35">
      <c r="A8"/>
      <c r="B8" s="1105" t="s">
        <v>1248</v>
      </c>
      <c r="C8" s="1036" t="s">
        <v>1311</v>
      </c>
      <c r="D8" s="1036" t="s">
        <v>1326</v>
      </c>
      <c r="E8" s="1036" t="s">
        <v>1327</v>
      </c>
      <c r="F8" s="1036" t="s">
        <v>1227</v>
      </c>
      <c r="G8" s="1037" t="s">
        <v>1228</v>
      </c>
      <c r="H8" s="1040" t="s">
        <v>1328</v>
      </c>
      <c r="I8" s="1106" t="s">
        <v>554</v>
      </c>
      <c r="J8" s="696" t="s">
        <v>1231</v>
      </c>
      <c r="K8" s="1037" t="s">
        <v>1232</v>
      </c>
      <c r="L8" s="1037" t="s">
        <v>1233</v>
      </c>
      <c r="M8" s="1037" t="s">
        <v>1265</v>
      </c>
      <c r="O8" s="881"/>
      <c r="P8" s="882"/>
      <c r="Q8" s="882"/>
      <c r="R8" s="882"/>
      <c r="S8" s="882"/>
      <c r="T8" s="883"/>
      <c r="U8" s="604"/>
      <c r="V8" s="604"/>
    </row>
    <row r="9" spans="1:22" s="804" customFormat="1" x14ac:dyDescent="0.3">
      <c r="B9" s="1056"/>
      <c r="C9" s="1057"/>
      <c r="D9" s="1107"/>
      <c r="E9" s="1057"/>
      <c r="F9" s="1057"/>
      <c r="G9" s="1058"/>
      <c r="H9" s="1059"/>
      <c r="J9" s="1060"/>
      <c r="K9" s="1061"/>
      <c r="L9" s="1061"/>
      <c r="M9" s="1062"/>
      <c r="O9" s="1108"/>
      <c r="P9" s="1052"/>
      <c r="Q9" s="1052"/>
      <c r="R9" s="1052"/>
      <c r="S9" s="1052"/>
      <c r="T9" s="1109"/>
      <c r="U9" s="707"/>
      <c r="V9" s="707"/>
    </row>
    <row r="10" spans="1:22" s="804" customFormat="1" x14ac:dyDescent="0.3">
      <c r="B10" s="1063"/>
      <c r="C10" s="1064"/>
      <c r="D10" s="1110"/>
      <c r="E10" s="1064"/>
      <c r="F10" s="1064"/>
      <c r="G10" s="1065"/>
      <c r="H10" s="1066"/>
      <c r="J10" s="1067"/>
      <c r="K10" s="1068"/>
      <c r="L10" s="1068"/>
      <c r="M10" s="991"/>
      <c r="O10" s="1108"/>
      <c r="P10" s="1052"/>
      <c r="Q10" s="1052"/>
      <c r="R10" s="1052"/>
      <c r="S10" s="1052"/>
      <c r="T10" s="1109"/>
      <c r="U10" s="707"/>
      <c r="V10" s="707"/>
    </row>
    <row r="11" spans="1:22" s="804" customFormat="1" x14ac:dyDescent="0.3">
      <c r="B11" s="1063"/>
      <c r="C11" s="1064"/>
      <c r="D11" s="1110"/>
      <c r="E11" s="1064"/>
      <c r="F11" s="1064"/>
      <c r="G11" s="1065"/>
      <c r="H11" s="1066"/>
      <c r="J11" s="1067"/>
      <c r="K11" s="1068"/>
      <c r="L11" s="1068"/>
      <c r="M11" s="991"/>
      <c r="O11" s="1108"/>
      <c r="P11" s="1052"/>
      <c r="Q11" s="1052"/>
      <c r="R11" s="1052"/>
      <c r="S11" s="1052"/>
      <c r="T11" s="1109"/>
      <c r="U11" s="707"/>
      <c r="V11" s="707"/>
    </row>
    <row r="12" spans="1:22" s="804" customFormat="1" x14ac:dyDescent="0.3">
      <c r="B12" s="1063"/>
      <c r="C12" s="1064"/>
      <c r="D12" s="1110"/>
      <c r="E12" s="1064"/>
      <c r="F12" s="1064"/>
      <c r="G12" s="1065"/>
      <c r="H12" s="1066"/>
      <c r="J12" s="1067"/>
      <c r="K12" s="1068"/>
      <c r="L12" s="1068"/>
      <c r="M12" s="991"/>
      <c r="O12" s="1108"/>
      <c r="P12" s="1052"/>
      <c r="Q12" s="1052"/>
      <c r="R12" s="1052"/>
      <c r="S12" s="1052"/>
      <c r="T12" s="1109"/>
      <c r="U12" s="707"/>
      <c r="V12" s="707"/>
    </row>
    <row r="13" spans="1:22" s="804" customFormat="1" x14ac:dyDescent="0.3">
      <c r="B13" s="1063"/>
      <c r="C13" s="1064"/>
      <c r="D13" s="1110"/>
      <c r="E13" s="1064"/>
      <c r="F13" s="1064"/>
      <c r="G13" s="1065"/>
      <c r="H13" s="1066"/>
      <c r="J13" s="1067"/>
      <c r="K13" s="1068"/>
      <c r="L13" s="1068"/>
      <c r="M13" s="991"/>
      <c r="O13" s="1108"/>
      <c r="P13" s="1052"/>
      <c r="Q13" s="1052"/>
      <c r="R13" s="1052"/>
      <c r="S13" s="1052"/>
      <c r="T13" s="1109"/>
      <c r="U13" s="707"/>
      <c r="V13" s="707"/>
    </row>
    <row r="14" spans="1:22" s="804" customFormat="1" ht="13.8" thickBot="1" x14ac:dyDescent="0.35">
      <c r="B14" s="1073"/>
      <c r="C14" s="1074"/>
      <c r="D14" s="1111"/>
      <c r="E14" s="1074"/>
      <c r="F14" s="1074"/>
      <c r="G14" s="1075"/>
      <c r="H14" s="1076"/>
      <c r="J14" s="1077"/>
      <c r="K14" s="1079"/>
      <c r="L14" s="1079"/>
      <c r="M14" s="1080"/>
      <c r="O14" s="1112"/>
      <c r="P14" s="1070"/>
      <c r="Q14" s="1070"/>
      <c r="R14" s="1070"/>
      <c r="S14" s="1070"/>
      <c r="T14" s="1113"/>
      <c r="U14" s="707"/>
      <c r="V14" s="707"/>
    </row>
    <row r="15" spans="1:22" x14ac:dyDescent="0.25">
      <c r="B15" s="1103"/>
      <c r="C15" s="1114"/>
      <c r="D15" s="1115"/>
      <c r="E15" s="1103"/>
      <c r="F15" s="1116"/>
      <c r="G15" s="1103"/>
      <c r="H15" s="1103"/>
      <c r="J15" s="1103"/>
      <c r="K15" s="1116"/>
      <c r="L15" s="1117"/>
      <c r="M15" s="1114"/>
      <c r="O15" s="604"/>
      <c r="P15" s="604"/>
      <c r="Q15" s="604"/>
      <c r="R15" s="604"/>
      <c r="S15" s="604"/>
      <c r="T15" s="604"/>
      <c r="U15" s="604"/>
      <c r="V15" s="604"/>
    </row>
    <row r="16" spans="1:22" x14ac:dyDescent="0.25">
      <c r="O16" s="604"/>
      <c r="P16" s="604"/>
      <c r="Q16" s="604"/>
      <c r="R16" s="604"/>
      <c r="S16" s="604"/>
      <c r="T16" s="604"/>
      <c r="U16" s="604"/>
      <c r="V16" s="604"/>
    </row>
    <row r="17" spans="1:22" x14ac:dyDescent="0.25">
      <c r="B17" s="349" t="s">
        <v>1329</v>
      </c>
      <c r="O17" s="604"/>
      <c r="P17" s="604"/>
      <c r="Q17" s="604"/>
      <c r="R17" s="604"/>
      <c r="S17" s="604"/>
      <c r="T17" s="604"/>
      <c r="U17" s="604"/>
      <c r="V17" s="604"/>
    </row>
    <row r="18" spans="1:22" ht="13.8" thickBot="1" x14ac:dyDescent="0.3">
      <c r="B18" s="349"/>
      <c r="O18" s="604"/>
      <c r="P18" s="604"/>
      <c r="Q18" s="604"/>
      <c r="R18" s="604"/>
      <c r="S18" s="604"/>
      <c r="T18" s="604"/>
      <c r="U18" s="604"/>
      <c r="V18" s="604"/>
    </row>
    <row r="19" spans="1:22" ht="16.5" customHeight="1" thickBot="1" x14ac:dyDescent="0.3">
      <c r="B19" s="837" t="s">
        <v>1062</v>
      </c>
      <c r="C19" s="1791" t="s">
        <v>1330</v>
      </c>
      <c r="D19" s="1791"/>
      <c r="E19" s="1791"/>
      <c r="F19" s="1791"/>
      <c r="G19" s="1791"/>
      <c r="H19" s="1791"/>
      <c r="I19" s="1791"/>
      <c r="J19" s="1791"/>
      <c r="K19" s="1791"/>
      <c r="L19" s="1791"/>
      <c r="M19" s="1792"/>
      <c r="N19" s="313"/>
      <c r="O19" s="1772" t="s">
        <v>1158</v>
      </c>
      <c r="P19" s="1773"/>
      <c r="Q19" s="1773"/>
      <c r="R19" s="1773"/>
      <c r="S19" s="1773"/>
      <c r="T19" s="1774"/>
      <c r="U19" s="604"/>
      <c r="V19" s="604"/>
    </row>
    <row r="20" spans="1:22" ht="13.8" thickBot="1" x14ac:dyDescent="0.3">
      <c r="B20" s="877"/>
      <c r="C20" s="1034"/>
      <c r="D20" s="1114"/>
      <c r="E20" s="1114"/>
      <c r="F20" s="1114"/>
      <c r="G20" s="1114"/>
      <c r="H20" s="1114"/>
      <c r="I20" s="1114"/>
      <c r="J20" s="1114"/>
      <c r="K20" s="1114"/>
      <c r="L20" s="1114"/>
      <c r="M20" s="1114"/>
      <c r="N20" s="1114"/>
      <c r="O20" s="1775"/>
      <c r="P20" s="1776"/>
      <c r="Q20" s="1776"/>
      <c r="R20" s="1776"/>
      <c r="S20" s="1776"/>
      <c r="T20" s="1777"/>
      <c r="U20" s="604"/>
      <c r="V20" s="604"/>
    </row>
    <row r="21" spans="1:22" ht="43.5" customHeight="1" thickBot="1" x14ac:dyDescent="0.35">
      <c r="A21"/>
      <c r="B21" s="1118" t="s">
        <v>1248</v>
      </c>
      <c r="C21" s="1119" t="s">
        <v>1311</v>
      </c>
      <c r="D21" s="1119" t="s">
        <v>1226</v>
      </c>
      <c r="E21" s="612" t="s">
        <v>1228</v>
      </c>
      <c r="F21" s="612" t="s">
        <v>1229</v>
      </c>
      <c r="G21" s="1119" t="s">
        <v>1331</v>
      </c>
      <c r="H21" s="612" t="s">
        <v>1332</v>
      </c>
      <c r="I21" s="612" t="s">
        <v>1333</v>
      </c>
      <c r="J21" s="612" t="s">
        <v>1231</v>
      </c>
      <c r="K21" s="612" t="s">
        <v>1232</v>
      </c>
      <c r="L21" s="612" t="s">
        <v>1233</v>
      </c>
      <c r="M21" s="613" t="s">
        <v>1265</v>
      </c>
      <c r="O21" s="881"/>
      <c r="P21" s="882"/>
      <c r="Q21" s="882"/>
      <c r="R21" s="882"/>
      <c r="S21" s="882"/>
      <c r="T21" s="883"/>
      <c r="U21" s="604"/>
      <c r="V21" s="604"/>
    </row>
    <row r="22" spans="1:22" s="804" customFormat="1" x14ac:dyDescent="0.3">
      <c r="B22" s="1120"/>
      <c r="C22" s="1121"/>
      <c r="D22" s="1121"/>
      <c r="E22" s="1121"/>
      <c r="F22" s="1121"/>
      <c r="G22" s="1121"/>
      <c r="H22" s="1122"/>
      <c r="I22" s="1122"/>
      <c r="J22" s="1123"/>
      <c r="K22" s="889"/>
      <c r="L22" s="889"/>
      <c r="M22" s="1124"/>
      <c r="O22" s="1108"/>
      <c r="P22" s="1052"/>
      <c r="Q22" s="1052"/>
      <c r="R22" s="1052"/>
      <c r="S22" s="1052"/>
      <c r="T22" s="1109"/>
      <c r="U22" s="707"/>
      <c r="V22" s="707"/>
    </row>
    <row r="23" spans="1:22" s="804" customFormat="1" x14ac:dyDescent="0.3">
      <c r="B23" s="1125"/>
      <c r="C23" s="1126"/>
      <c r="D23" s="1126"/>
      <c r="E23" s="1126"/>
      <c r="F23" s="1126"/>
      <c r="G23" s="1126"/>
      <c r="H23" s="1127"/>
      <c r="I23" s="1127"/>
      <c r="J23" s="1128"/>
      <c r="K23" s="896"/>
      <c r="L23" s="896"/>
      <c r="M23" s="985"/>
      <c r="O23" s="1108"/>
      <c r="P23" s="1052"/>
      <c r="Q23" s="1052"/>
      <c r="R23" s="1052"/>
      <c r="S23" s="1052"/>
      <c r="T23" s="1109"/>
      <c r="U23" s="707"/>
      <c r="V23" s="707"/>
    </row>
    <row r="24" spans="1:22" s="804" customFormat="1" x14ac:dyDescent="0.3">
      <c r="B24" s="1125"/>
      <c r="C24" s="1126"/>
      <c r="D24" s="1126"/>
      <c r="E24" s="1126"/>
      <c r="F24" s="1126"/>
      <c r="G24" s="1126"/>
      <c r="H24" s="1127"/>
      <c r="I24" s="1127"/>
      <c r="J24" s="1128"/>
      <c r="K24" s="896"/>
      <c r="L24" s="896"/>
      <c r="M24" s="985"/>
      <c r="O24" s="1108"/>
      <c r="P24" s="1052"/>
      <c r="Q24" s="1052"/>
      <c r="R24" s="1052"/>
      <c r="S24" s="1052"/>
      <c r="T24" s="1109"/>
      <c r="U24" s="707"/>
      <c r="V24" s="707"/>
    </row>
    <row r="25" spans="1:22" s="804" customFormat="1" ht="13.8" thickBot="1" x14ac:dyDescent="0.35">
      <c r="B25" s="1129"/>
      <c r="C25" s="1130"/>
      <c r="D25" s="1130"/>
      <c r="E25" s="1130"/>
      <c r="F25" s="1130"/>
      <c r="G25" s="1130"/>
      <c r="H25" s="1131"/>
      <c r="I25" s="1131"/>
      <c r="J25" s="1132"/>
      <c r="K25" s="1133"/>
      <c r="L25" s="1133"/>
      <c r="M25" s="991"/>
      <c r="O25" s="1112"/>
      <c r="P25" s="1070"/>
      <c r="Q25" s="1070"/>
      <c r="R25" s="1070"/>
      <c r="S25" s="1070"/>
      <c r="T25" s="1113"/>
      <c r="U25" s="707"/>
      <c r="V25" s="707"/>
    </row>
    <row r="26" spans="1:22" x14ac:dyDescent="0.25">
      <c r="O26" s="604"/>
      <c r="P26" s="604"/>
      <c r="Q26" s="604"/>
      <c r="R26" s="604"/>
      <c r="S26" s="604"/>
      <c r="T26" s="604"/>
      <c r="U26" s="604"/>
      <c r="V26" s="604"/>
    </row>
    <row r="27" spans="1:22" x14ac:dyDescent="0.25">
      <c r="O27" s="604"/>
      <c r="P27" s="604"/>
      <c r="Q27" s="604"/>
      <c r="R27" s="604"/>
      <c r="S27" s="604"/>
      <c r="T27" s="604"/>
      <c r="U27" s="604"/>
      <c r="V27" s="604"/>
    </row>
    <row r="28" spans="1:22" x14ac:dyDescent="0.25">
      <c r="O28" s="604"/>
      <c r="P28" s="604"/>
      <c r="Q28" s="604"/>
      <c r="R28" s="604"/>
      <c r="S28" s="604"/>
      <c r="T28" s="604"/>
      <c r="U28" s="604"/>
      <c r="V28" s="604"/>
    </row>
    <row r="29" spans="1:22" x14ac:dyDescent="0.25">
      <c r="O29" s="604"/>
      <c r="P29" s="604"/>
      <c r="Q29" s="604"/>
      <c r="R29" s="604"/>
      <c r="S29" s="604"/>
      <c r="T29" s="604"/>
      <c r="U29" s="604"/>
      <c r="V29" s="604"/>
    </row>
    <row r="30" spans="1:22" x14ac:dyDescent="0.25">
      <c r="O30" s="604"/>
      <c r="P30" s="604"/>
      <c r="Q30" s="604"/>
      <c r="R30" s="604"/>
      <c r="S30" s="604"/>
      <c r="T30" s="604"/>
      <c r="U30" s="604"/>
      <c r="V30" s="604"/>
    </row>
    <row r="31" spans="1:22" x14ac:dyDescent="0.25">
      <c r="O31" s="604"/>
      <c r="P31" s="604"/>
      <c r="Q31" s="604"/>
      <c r="R31" s="604"/>
      <c r="S31" s="604"/>
      <c r="T31" s="604"/>
      <c r="U31" s="604"/>
      <c r="V31" s="604"/>
    </row>
    <row r="32" spans="1:22" x14ac:dyDescent="0.25">
      <c r="O32" s="604"/>
      <c r="P32" s="604"/>
      <c r="Q32" s="604"/>
      <c r="R32" s="604"/>
      <c r="S32" s="604"/>
      <c r="T32" s="604"/>
      <c r="U32" s="604"/>
      <c r="V32" s="604"/>
    </row>
    <row r="33" spans="15:22" x14ac:dyDescent="0.25">
      <c r="O33" s="604"/>
      <c r="P33" s="604"/>
      <c r="Q33" s="604"/>
      <c r="R33" s="604"/>
      <c r="S33" s="604"/>
      <c r="T33" s="604"/>
      <c r="U33" s="604"/>
      <c r="V33" s="604"/>
    </row>
  </sheetData>
  <sheetProtection algorithmName="SHA-512" hashValue="1IYLr1fmO2lg/Vtf0AQKTQ/glwpxODyNyxkLJOZGQdtqcNpx2JC2Q054IJo+xqmAhGSIVTw0AWu7rHiAv+OXWw==" saltValue="POtXffH9QTCUSosyXuWHAw==" spinCount="100000" sheet="1" formatColumns="0" formatRows="0" insertColumns="0" insertRows="0"/>
  <mergeCells count="5">
    <mergeCell ref="C2:M2"/>
    <mergeCell ref="C6:M6"/>
    <mergeCell ref="O6:T7"/>
    <mergeCell ref="C19:M19"/>
    <mergeCell ref="O19:T20"/>
  </mergeCells>
  <dataValidations count="1">
    <dataValidation type="list" allowBlank="1" showInputMessage="1" showErrorMessage="1" sqref="K22:L25 K9:L15" xr:uid="{00E46982-6F27-BE49-A637-8A2B31C800F3}">
      <formula1>"Yes,No,NA"</formula1>
    </dataValidation>
  </dataValidations>
  <pageMargins left="0.7" right="0.7" top="0.75" bottom="0.75" header="0.3" footer="0.3"/>
  <pageSetup scale="56" fitToHeight="0" orientation="landscape" horizontalDpi="1200" verticalDpi="1200" r:id="rId1"/>
  <drawing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FF6E-3814-4C47-BF68-DF9D63013E5D}">
  <sheetPr codeName="Sheet22">
    <tabColor theme="7" tint="0.79998168889431442"/>
  </sheetPr>
  <dimension ref="A1:AU87"/>
  <sheetViews>
    <sheetView zoomScaleNormal="100" workbookViewId="0">
      <selection activeCell="B2" sqref="B2"/>
    </sheetView>
  </sheetViews>
  <sheetFormatPr defaultColWidth="9.09765625" defaultRowHeight="13.2" x14ac:dyDescent="0.25"/>
  <cols>
    <col min="1" max="1" width="6.59765625" style="343" customWidth="1"/>
    <col min="2" max="2" width="11.3984375" style="343" customWidth="1"/>
    <col min="3" max="3" width="15.09765625" style="343" customWidth="1"/>
    <col min="4" max="4" width="18" style="343" customWidth="1"/>
    <col min="5" max="5" width="13.8984375" style="343" customWidth="1"/>
    <col min="6" max="6" width="17.5" style="1134" bestFit="1" customWidth="1"/>
    <col min="7" max="7" width="9" style="1134" customWidth="1"/>
    <col min="8" max="8" width="17.09765625" style="1134" bestFit="1" customWidth="1"/>
    <col min="9" max="10" width="5.59765625" style="1134" customWidth="1"/>
    <col min="11" max="34" width="5.59765625" style="343" customWidth="1"/>
    <col min="35" max="43" width="0" style="343" hidden="1" customWidth="1"/>
    <col min="44" max="16384" width="9.09765625" style="343"/>
  </cols>
  <sheetData>
    <row r="1" spans="2:39" ht="13.8" thickBot="1" x14ac:dyDescent="0.3"/>
    <row r="2" spans="2:39" ht="65.25" customHeight="1" thickBot="1" x14ac:dyDescent="0.3">
      <c r="B2" s="837" t="s">
        <v>1062</v>
      </c>
      <c r="C2" s="1786" t="s">
        <v>1334</v>
      </c>
      <c r="D2" s="1786"/>
      <c r="E2" s="1786"/>
      <c r="F2" s="1786"/>
      <c r="G2" s="1786"/>
      <c r="H2" s="1786"/>
      <c r="I2" s="1786"/>
      <c r="J2" s="1786"/>
      <c r="K2" s="1786"/>
      <c r="L2" s="1786"/>
      <c r="M2" s="1786"/>
      <c r="N2" s="1786"/>
      <c r="O2" s="1787"/>
      <c r="P2" s="1032"/>
      <c r="Q2" s="1032"/>
      <c r="R2" s="1032"/>
      <c r="S2" s="1032"/>
      <c r="W2" s="604"/>
      <c r="X2" s="604"/>
      <c r="Y2" s="604"/>
      <c r="Z2" s="604"/>
      <c r="AA2" s="604"/>
      <c r="AB2" s="604"/>
      <c r="AC2" s="604"/>
      <c r="AD2" s="604"/>
      <c r="AE2" s="604"/>
      <c r="AF2" s="604"/>
    </row>
    <row r="3" spans="2:39" x14ac:dyDescent="0.25">
      <c r="W3" s="604"/>
      <c r="X3" s="604"/>
      <c r="Y3" s="604"/>
      <c r="Z3" s="604"/>
      <c r="AA3" s="604"/>
      <c r="AB3" s="604"/>
      <c r="AC3" s="604"/>
      <c r="AD3" s="604"/>
      <c r="AE3" s="604"/>
      <c r="AF3" s="604"/>
    </row>
    <row r="4" spans="2:39" ht="12.6" customHeight="1" x14ac:dyDescent="0.25">
      <c r="B4" s="691" t="s">
        <v>1335</v>
      </c>
      <c r="G4" s="343"/>
      <c r="H4" s="345"/>
      <c r="I4" s="345"/>
      <c r="J4" s="345"/>
      <c r="K4" s="345"/>
      <c r="L4" s="345"/>
      <c r="M4" s="345"/>
      <c r="N4" s="345"/>
      <c r="W4" s="604"/>
      <c r="X4" s="604"/>
      <c r="Y4" s="604"/>
      <c r="Z4" s="604"/>
      <c r="AA4" s="604"/>
      <c r="AB4" s="604"/>
      <c r="AC4" s="604"/>
      <c r="AD4" s="604"/>
      <c r="AE4" s="604"/>
      <c r="AF4" s="604"/>
    </row>
    <row r="5" spans="2:39" ht="13.8" thickBot="1" x14ac:dyDescent="0.3">
      <c r="B5" s="691"/>
      <c r="G5" s="345"/>
      <c r="H5" s="345"/>
      <c r="I5" s="345"/>
      <c r="J5" s="345"/>
      <c r="K5" s="345"/>
      <c r="L5" s="345"/>
      <c r="M5" s="345"/>
      <c r="N5" s="345"/>
      <c r="W5" s="604"/>
      <c r="X5" s="604"/>
      <c r="Y5" s="604"/>
      <c r="Z5" s="604"/>
      <c r="AA5" s="604"/>
      <c r="AB5" s="604"/>
      <c r="AC5" s="604"/>
      <c r="AD5" s="604"/>
      <c r="AE5" s="604"/>
      <c r="AF5" s="604"/>
    </row>
    <row r="6" spans="2:39" ht="12.6" customHeight="1" x14ac:dyDescent="0.25">
      <c r="B6" s="1835" t="s">
        <v>1336</v>
      </c>
      <c r="C6" s="1836"/>
      <c r="D6" s="1836"/>
      <c r="E6" s="1836"/>
      <c r="F6" s="1836"/>
      <c r="G6" s="1836"/>
      <c r="H6" s="1836"/>
      <c r="I6" s="1836"/>
      <c r="J6" s="1836"/>
      <c r="K6" s="1836"/>
      <c r="L6" s="1836"/>
      <c r="M6" s="1836"/>
      <c r="N6" s="1836"/>
      <c r="O6" s="1837"/>
      <c r="P6" s="1135"/>
      <c r="Q6" s="1135"/>
      <c r="R6" s="1135"/>
      <c r="S6" s="1135"/>
      <c r="W6" s="604"/>
      <c r="X6" s="604"/>
      <c r="Y6" s="604"/>
      <c r="Z6" s="604"/>
      <c r="AA6" s="604"/>
      <c r="AB6" s="604"/>
      <c r="AC6" s="604"/>
      <c r="AD6" s="604"/>
      <c r="AE6" s="604"/>
      <c r="AF6" s="604"/>
    </row>
    <row r="7" spans="2:39" ht="15.9" customHeight="1" x14ac:dyDescent="0.25">
      <c r="B7" s="1890"/>
      <c r="C7" s="1891"/>
      <c r="D7" s="1891"/>
      <c r="E7" s="1891"/>
      <c r="F7" s="1891"/>
      <c r="G7" s="1891"/>
      <c r="H7" s="1891"/>
      <c r="I7" s="1891"/>
      <c r="J7" s="1891"/>
      <c r="K7" s="1891"/>
      <c r="L7" s="1891"/>
      <c r="M7" s="1891"/>
      <c r="N7" s="1891"/>
      <c r="O7" s="1892"/>
      <c r="P7" s="1135"/>
      <c r="Q7" s="1135"/>
      <c r="R7" s="1135"/>
      <c r="S7" s="1135"/>
      <c r="W7" s="604"/>
      <c r="X7" s="604"/>
      <c r="Y7" s="604"/>
      <c r="Z7" s="604"/>
      <c r="AA7" s="604"/>
      <c r="AB7" s="604"/>
      <c r="AC7" s="604"/>
      <c r="AD7" s="604"/>
      <c r="AE7" s="604"/>
      <c r="AF7" s="604"/>
    </row>
    <row r="8" spans="2:39" ht="24.9" customHeight="1" thickBot="1" x14ac:dyDescent="0.3">
      <c r="B8" s="1893"/>
      <c r="C8" s="1894"/>
      <c r="D8" s="1894"/>
      <c r="E8" s="1894"/>
      <c r="F8" s="1894"/>
      <c r="G8" s="1894"/>
      <c r="H8" s="1894"/>
      <c r="I8" s="1894"/>
      <c r="J8" s="1894"/>
      <c r="K8" s="1894"/>
      <c r="L8" s="1894"/>
      <c r="M8" s="1894"/>
      <c r="N8" s="1894"/>
      <c r="O8" s="1895"/>
      <c r="P8" s="1135"/>
      <c r="Q8" s="1135"/>
      <c r="R8" s="1135"/>
      <c r="S8" s="1135"/>
      <c r="W8" s="604"/>
      <c r="X8" s="604"/>
      <c r="Y8" s="604"/>
      <c r="Z8" s="604"/>
      <c r="AA8" s="604"/>
      <c r="AB8" s="604"/>
      <c r="AC8" s="604"/>
      <c r="AD8" s="604"/>
      <c r="AE8" s="604"/>
      <c r="AF8" s="604"/>
    </row>
    <row r="9" spans="2:39" x14ac:dyDescent="0.25">
      <c r="B9" s="879"/>
      <c r="C9" s="879"/>
      <c r="D9" s="879"/>
      <c r="E9" s="879"/>
      <c r="F9" s="879"/>
      <c r="G9" s="879"/>
      <c r="H9" s="879"/>
      <c r="I9" s="879"/>
      <c r="J9" s="879"/>
      <c r="K9" s="879"/>
      <c r="L9" s="879"/>
      <c r="M9" s="879"/>
      <c r="N9" s="879"/>
      <c r="O9" s="601"/>
      <c r="W9" s="604"/>
      <c r="X9" s="604"/>
      <c r="Y9" s="604"/>
      <c r="Z9" s="604"/>
      <c r="AA9" s="604"/>
      <c r="AB9" s="604"/>
      <c r="AC9" s="604"/>
      <c r="AD9" s="604"/>
      <c r="AE9" s="604"/>
      <c r="AF9" s="604"/>
    </row>
    <row r="10" spans="2:39" ht="13.8" thickBot="1" x14ac:dyDescent="0.3">
      <c r="G10" s="345"/>
      <c r="H10" s="345"/>
      <c r="I10" s="345"/>
      <c r="J10" s="345"/>
      <c r="K10" s="345"/>
      <c r="L10" s="345"/>
      <c r="M10" s="345"/>
      <c r="N10" s="345"/>
      <c r="O10" s="601"/>
      <c r="W10" s="604"/>
      <c r="X10" s="604"/>
      <c r="Y10" s="604"/>
      <c r="Z10" s="604"/>
      <c r="AA10" s="604"/>
      <c r="AB10" s="604"/>
      <c r="AC10" s="604"/>
      <c r="AD10" s="604"/>
      <c r="AE10" s="604"/>
      <c r="AF10" s="604"/>
    </row>
    <row r="11" spans="2:39" ht="32.25" customHeight="1" thickBot="1" x14ac:dyDescent="0.3">
      <c r="B11" s="1896" t="s">
        <v>1337</v>
      </c>
      <c r="C11" s="1897"/>
      <c r="D11" s="1897"/>
      <c r="E11" s="1897"/>
      <c r="F11" s="1897"/>
      <c r="G11" s="1897"/>
      <c r="H11" s="1897"/>
      <c r="I11" s="1897"/>
      <c r="J11" s="1897"/>
      <c r="K11" s="1897"/>
      <c r="L11" s="1897"/>
      <c r="M11" s="1897"/>
      <c r="N11" s="1897"/>
      <c r="O11" s="1898"/>
      <c r="P11" s="694"/>
      <c r="Q11" s="694"/>
      <c r="R11" s="694"/>
      <c r="S11" s="694"/>
      <c r="W11" s="603"/>
      <c r="X11" s="603"/>
      <c r="Y11" s="603"/>
      <c r="Z11" s="603"/>
      <c r="AA11" s="603"/>
      <c r="AB11" s="603"/>
      <c r="AC11" s="604"/>
      <c r="AD11" s="604"/>
      <c r="AE11" s="604"/>
      <c r="AF11" s="604"/>
    </row>
    <row r="12" spans="2:39" ht="12.9" customHeight="1" thickBot="1" x14ac:dyDescent="0.3">
      <c r="B12" s="601"/>
      <c r="W12" s="603"/>
      <c r="X12" s="603"/>
      <c r="Y12" s="603"/>
      <c r="Z12" s="603"/>
      <c r="AA12" s="603"/>
      <c r="AB12" s="603"/>
      <c r="AC12" s="604"/>
      <c r="AD12" s="604"/>
      <c r="AE12" s="604"/>
      <c r="AF12" s="604"/>
    </row>
    <row r="13" spans="2:39" s="614" customFormat="1" ht="16.350000000000001" customHeight="1" x14ac:dyDescent="0.3">
      <c r="B13" s="1878" t="s">
        <v>1338</v>
      </c>
      <c r="C13" s="1879"/>
      <c r="D13" s="1136" t="str">
        <f>IF(OR(AJ$32="",AJ$32=0),"",AJ$32)</f>
        <v/>
      </c>
      <c r="E13" s="709"/>
      <c r="H13" s="1137" t="s">
        <v>1339</v>
      </c>
      <c r="I13" s="811" t="s">
        <v>33</v>
      </c>
      <c r="J13" s="1138" t="s">
        <v>34</v>
      </c>
      <c r="K13" s="1138" t="s">
        <v>35</v>
      </c>
      <c r="L13" s="1138" t="s">
        <v>36</v>
      </c>
      <c r="M13" s="1138" t="s">
        <v>84</v>
      </c>
      <c r="N13" s="1138" t="s">
        <v>85</v>
      </c>
      <c r="O13" s="1138" t="s">
        <v>86</v>
      </c>
      <c r="P13" s="1138" t="s">
        <v>1340</v>
      </c>
      <c r="Q13" s="1138" t="s">
        <v>1341</v>
      </c>
      <c r="R13" s="1138" t="s">
        <v>1342</v>
      </c>
      <c r="S13" s="1138" t="s">
        <v>1343</v>
      </c>
      <c r="T13" s="1138" t="s">
        <v>1344</v>
      </c>
      <c r="U13" s="1138" t="s">
        <v>1345</v>
      </c>
      <c r="V13" s="1138" t="s">
        <v>1346</v>
      </c>
      <c r="W13" s="1138" t="s">
        <v>1347</v>
      </c>
      <c r="X13" s="1138" t="s">
        <v>1348</v>
      </c>
      <c r="Y13" s="1138" t="s">
        <v>1349</v>
      </c>
      <c r="Z13" s="1138" t="s">
        <v>1350</v>
      </c>
      <c r="AA13" s="1138" t="s">
        <v>1351</v>
      </c>
      <c r="AB13" s="1138" t="s">
        <v>1352</v>
      </c>
      <c r="AC13" s="1138" t="s">
        <v>1353</v>
      </c>
      <c r="AD13" s="1138" t="s">
        <v>1354</v>
      </c>
      <c r="AE13" s="1138" t="s">
        <v>1355</v>
      </c>
      <c r="AF13" s="1138" t="s">
        <v>415</v>
      </c>
      <c r="AG13" s="1138" t="s">
        <v>1356</v>
      </c>
      <c r="AH13" s="1139" t="s">
        <v>1357</v>
      </c>
    </row>
    <row r="14" spans="2:39" s="614" customFormat="1" x14ac:dyDescent="0.3">
      <c r="B14" s="1899" t="s">
        <v>1358</v>
      </c>
      <c r="C14" s="1900"/>
      <c r="D14" s="1140" t="str">
        <f>IF(AJ$32=0,"",
IF((AK$32/AJ$32)&gt;0.9,"PASS","FAIL"))</f>
        <v/>
      </c>
      <c r="E14" s="709"/>
      <c r="H14" s="1141" t="s">
        <v>1359</v>
      </c>
      <c r="I14" s="816"/>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c r="AG14" s="1142"/>
      <c r="AH14" s="1143"/>
    </row>
    <row r="15" spans="2:39" s="614" customFormat="1" ht="16.350000000000001" customHeight="1" thickBot="1" x14ac:dyDescent="0.35">
      <c r="B15" s="1880" t="s">
        <v>1360</v>
      </c>
      <c r="C15" s="1881"/>
      <c r="D15" s="1144" t="str">
        <f>IF($G$32="","",
IF($G$32&lt;=0.75,"PASS","FAIL"))</f>
        <v/>
      </c>
      <c r="E15" s="709"/>
      <c r="H15" s="1145" t="s">
        <v>1361</v>
      </c>
      <c r="I15" s="1146"/>
      <c r="J15" s="1147"/>
      <c r="K15" s="1147"/>
      <c r="L15" s="1147"/>
      <c r="M15" s="1147"/>
      <c r="N15" s="1147"/>
      <c r="O15" s="1147"/>
      <c r="P15" s="1147"/>
      <c r="Q15" s="1147"/>
      <c r="R15" s="1147"/>
      <c r="S15" s="1147"/>
      <c r="T15" s="1147"/>
      <c r="U15" s="1147"/>
      <c r="V15" s="1147"/>
      <c r="W15" s="1147"/>
      <c r="X15" s="1147"/>
      <c r="Y15" s="1147"/>
      <c r="Z15" s="1147"/>
      <c r="AA15" s="1147"/>
      <c r="AB15" s="1147"/>
      <c r="AC15" s="1147"/>
      <c r="AD15" s="1147"/>
      <c r="AE15" s="1147"/>
      <c r="AF15" s="1147"/>
      <c r="AG15" s="1147"/>
      <c r="AH15" s="1148"/>
    </row>
    <row r="16" spans="2:39" s="614" customFormat="1" ht="13.8" thickBot="1" x14ac:dyDescent="0.35">
      <c r="C16" s="600"/>
      <c r="D16" s="600"/>
      <c r="E16" s="600"/>
      <c r="K16" s="600"/>
      <c r="L16" s="600"/>
      <c r="M16" s="600"/>
      <c r="O16" s="1149"/>
      <c r="P16" s="600"/>
      <c r="Q16" s="600"/>
      <c r="R16" s="600"/>
      <c r="S16" s="600"/>
      <c r="T16" s="600"/>
      <c r="U16" s="600"/>
      <c r="W16" s="640"/>
      <c r="X16" s="640"/>
      <c r="Y16" s="640"/>
      <c r="Z16" s="640"/>
      <c r="AA16" s="640"/>
      <c r="AB16" s="640"/>
      <c r="AC16" s="640"/>
      <c r="AD16" s="640"/>
      <c r="AE16" s="640"/>
      <c r="AF16" s="640"/>
      <c r="AJ16" s="600" t="s">
        <v>1247</v>
      </c>
      <c r="AK16" s="600" t="s">
        <v>1247</v>
      </c>
      <c r="AL16" s="600" t="s">
        <v>1247</v>
      </c>
      <c r="AM16" s="600" t="s">
        <v>1247</v>
      </c>
    </row>
    <row r="17" spans="1:41" s="614" customFormat="1" ht="16.2" thickBot="1" x14ac:dyDescent="0.35">
      <c r="A17" s="801"/>
      <c r="B17" s="1150" t="s">
        <v>1362</v>
      </c>
      <c r="C17" s="1151" t="s">
        <v>1363</v>
      </c>
      <c r="D17" s="1151" t="s">
        <v>1364</v>
      </c>
      <c r="E17" s="1152" t="s">
        <v>1365</v>
      </c>
      <c r="F17" s="1153" t="s">
        <v>1366</v>
      </c>
      <c r="G17" s="1154" t="s">
        <v>1367</v>
      </c>
      <c r="H17" s="1155"/>
      <c r="I17" s="1150" t="str">
        <f>Table10a17[[#Headers],[A]]</f>
        <v>A</v>
      </c>
      <c r="J17" s="1151" t="str">
        <f>Table10a17[[#Headers],[B]]</f>
        <v>B</v>
      </c>
      <c r="K17" s="1151" t="str">
        <f>Table10a17[[#Headers],[C]]</f>
        <v>C</v>
      </c>
      <c r="L17" s="1151" t="str">
        <f>Table10a17[[#Headers],[D]]</f>
        <v>D</v>
      </c>
      <c r="M17" s="1151" t="str">
        <f>Table10a17[[#Headers],[E]]</f>
        <v>E</v>
      </c>
      <c r="N17" s="1151" t="str">
        <f>Table10a17[[#Headers],[F]]</f>
        <v>F</v>
      </c>
      <c r="O17" s="1151" t="str">
        <f>Table10a17[[#Headers],[G]]</f>
        <v>G</v>
      </c>
      <c r="P17" s="1151" t="str">
        <f>Table10a17[[#Headers],[H]]</f>
        <v>H</v>
      </c>
      <c r="Q17" s="1151" t="str">
        <f>Table10a17[[#Headers],[I]]</f>
        <v>I</v>
      </c>
      <c r="R17" s="1151" t="str">
        <f>Table10a17[[#Headers],[J]]</f>
        <v>J</v>
      </c>
      <c r="S17" s="1151" t="str">
        <f>Table10a17[[#Headers],[K]]</f>
        <v>K</v>
      </c>
      <c r="T17" s="1151" t="str">
        <f>Table10a17[[#Headers],[L]]</f>
        <v>L</v>
      </c>
      <c r="U17" s="1151" t="str">
        <f>Table10a17[[#Headers],[M]]</f>
        <v>M</v>
      </c>
      <c r="V17" s="1151" t="str">
        <f>Table10a17[[#Headers],[N]]</f>
        <v>N</v>
      </c>
      <c r="W17" s="1151" t="str">
        <f>Table10a17[[#Headers],[O]]</f>
        <v>O</v>
      </c>
      <c r="X17" s="1151" t="str">
        <f>Table10a17[[#Headers],[P]]</f>
        <v>P</v>
      </c>
      <c r="Y17" s="1151" t="str">
        <f>Table10a17[[#Headers],[Q]]</f>
        <v>Q</v>
      </c>
      <c r="Z17" s="1151" t="str">
        <f>Table10a17[[#Headers],[R]]</f>
        <v>R</v>
      </c>
      <c r="AA17" s="1151" t="str">
        <f>Table10a17[[#Headers],[S]]</f>
        <v>S</v>
      </c>
      <c r="AB17" s="1151" t="str">
        <f>Table10a17[[#Headers],[T]]</f>
        <v>T</v>
      </c>
      <c r="AC17" s="1151" t="str">
        <f>Table10a17[[#Headers],[U]]</f>
        <v>U</v>
      </c>
      <c r="AD17" s="1151" t="str">
        <f>Table10a17[[#Headers],[V]]</f>
        <v>V</v>
      </c>
      <c r="AE17" s="1151" t="str">
        <f>Table10a17[[#Headers],[W]]</f>
        <v>W</v>
      </c>
      <c r="AF17" s="1151" t="str">
        <f>Table10a17[[#Headers],[X]]</f>
        <v>X</v>
      </c>
      <c r="AG17" s="1151" t="str">
        <f>Table10a17[[#Headers],[Y]]</f>
        <v>Y</v>
      </c>
      <c r="AH17" s="1156" t="str">
        <f>Table10a17[[#Headers],[Z]]</f>
        <v>Z</v>
      </c>
      <c r="AJ17" s="1157" t="s">
        <v>1368</v>
      </c>
      <c r="AK17" s="1157" t="s">
        <v>1369</v>
      </c>
      <c r="AL17" s="1158" t="s">
        <v>1370</v>
      </c>
      <c r="AM17" s="1159" t="s">
        <v>1371</v>
      </c>
    </row>
    <row r="18" spans="1:41" s="614" customFormat="1" ht="17.399999999999999" hidden="1" customHeight="1" thickBot="1" x14ac:dyDescent="0.35">
      <c r="B18" s="1160" t="s">
        <v>1362</v>
      </c>
      <c r="C18" s="1161" t="s">
        <v>1363</v>
      </c>
      <c r="D18" s="1161" t="s">
        <v>1364</v>
      </c>
      <c r="E18" s="1162" t="s">
        <v>1365</v>
      </c>
      <c r="F18" s="1163" t="s">
        <v>1366</v>
      </c>
      <c r="G18" s="1164" t="s">
        <v>1367</v>
      </c>
      <c r="H18" s="1149" t="s">
        <v>1123</v>
      </c>
      <c r="I18" s="1165" t="s">
        <v>33</v>
      </c>
      <c r="J18" s="1166" t="s">
        <v>34</v>
      </c>
      <c r="K18" s="1166" t="s">
        <v>35</v>
      </c>
      <c r="L18" s="1166" t="s">
        <v>36</v>
      </c>
      <c r="M18" s="1166" t="s">
        <v>84</v>
      </c>
      <c r="N18" s="1166" t="s">
        <v>85</v>
      </c>
      <c r="O18" s="1166" t="s">
        <v>86</v>
      </c>
      <c r="P18" s="1166" t="s">
        <v>1340</v>
      </c>
      <c r="Q18" s="1166" t="s">
        <v>1341</v>
      </c>
      <c r="R18" s="1166" t="s">
        <v>1342</v>
      </c>
      <c r="S18" s="1166" t="s">
        <v>1343</v>
      </c>
      <c r="T18" s="1166" t="s">
        <v>1344</v>
      </c>
      <c r="U18" s="1166" t="s">
        <v>1345</v>
      </c>
      <c r="V18" s="1166" t="s">
        <v>1346</v>
      </c>
      <c r="W18" s="1166" t="s">
        <v>1347</v>
      </c>
      <c r="X18" s="1166" t="s">
        <v>1348</v>
      </c>
      <c r="Y18" s="1166" t="s">
        <v>1349</v>
      </c>
      <c r="Z18" s="1166" t="s">
        <v>1350</v>
      </c>
      <c r="AA18" s="1166" t="s">
        <v>1351</v>
      </c>
      <c r="AB18" s="1166" t="s">
        <v>1352</v>
      </c>
      <c r="AC18" s="1166" t="s">
        <v>1353</v>
      </c>
      <c r="AD18" s="1166" t="s">
        <v>1354</v>
      </c>
      <c r="AE18" s="1166" t="s">
        <v>1355</v>
      </c>
      <c r="AF18" s="1166" t="s">
        <v>415</v>
      </c>
      <c r="AG18" s="1166" t="s">
        <v>1356</v>
      </c>
      <c r="AH18" s="1167" t="s">
        <v>1357</v>
      </c>
      <c r="AI18" s="1168" t="s">
        <v>1122</v>
      </c>
      <c r="AJ18" s="1169" t="s">
        <v>1368</v>
      </c>
      <c r="AK18" s="1169" t="s">
        <v>1369</v>
      </c>
      <c r="AL18" s="1170" t="s">
        <v>1370</v>
      </c>
      <c r="AM18" s="1171" t="s">
        <v>1371</v>
      </c>
      <c r="AN18" s="709"/>
      <c r="AO18" s="709"/>
    </row>
    <row r="19" spans="1:41" s="614" customFormat="1" ht="12.6" customHeight="1" x14ac:dyDescent="0.3">
      <c r="B19" s="1172"/>
      <c r="C19" s="1173"/>
      <c r="D19" s="1173"/>
      <c r="E19" s="1174"/>
      <c r="F19" s="1175"/>
      <c r="G19" s="117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19" s="734"/>
      <c r="I19" s="1177"/>
      <c r="J19" s="1138"/>
      <c r="K19" s="1138"/>
      <c r="L19" s="1138"/>
      <c r="M19" s="1138"/>
      <c r="N19" s="1138"/>
      <c r="O19" s="1138"/>
      <c r="P19" s="1138"/>
      <c r="Q19" s="1138"/>
      <c r="R19" s="1138"/>
      <c r="S19" s="1138"/>
      <c r="T19" s="1138"/>
      <c r="U19" s="1138"/>
      <c r="V19" s="1138"/>
      <c r="W19" s="1138"/>
      <c r="X19" s="1138"/>
      <c r="Y19" s="1138"/>
      <c r="Z19" s="1138"/>
      <c r="AA19" s="1138"/>
      <c r="AB19" s="1138"/>
      <c r="AC19" s="1138"/>
      <c r="AD19" s="1138"/>
      <c r="AE19" s="1138"/>
      <c r="AF19" s="1138"/>
      <c r="AG19" s="1138"/>
      <c r="AH19" s="1178"/>
      <c r="AI19" s="1179"/>
      <c r="AJ19" s="1180">
        <f>SUM(Table10b15[[#This Row],[A]:[Z]])*Table10b15[[#This Row],[Multiplier]]</f>
        <v>0</v>
      </c>
      <c r="AK19" s="750">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19" s="621">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19" s="1181" t="str">
        <f>IF(AND(OR(Table10b15[[#This Row],[Room Type]]="Bedroom",Table10b15[[#This Row],[Room Type]]="Living Room",Table10b15[[#This Row],[Room Type]]="Dining Room"),Table10b15[[#This Row],[Lit Area (SF)]]&gt;Table10b15[[#This Row],[Watts (Lit Area) 3x]]),"Display Lit Area Warning","")</f>
        <v/>
      </c>
      <c r="AN19" s="709"/>
      <c r="AO19" s="709"/>
    </row>
    <row r="20" spans="1:41" s="614" customFormat="1" ht="12.9" customHeight="1" x14ac:dyDescent="0.3">
      <c r="B20" s="1182"/>
      <c r="C20" s="1183"/>
      <c r="D20" s="1183"/>
      <c r="E20" s="1184"/>
      <c r="F20" s="1185"/>
      <c r="G20"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0" s="734"/>
      <c r="I20" s="1182"/>
      <c r="J20" s="1142"/>
      <c r="K20" s="1142"/>
      <c r="L20" s="1142"/>
      <c r="M20" s="1142"/>
      <c r="N20" s="1142"/>
      <c r="O20" s="1142"/>
      <c r="P20" s="1142"/>
      <c r="Q20" s="1142"/>
      <c r="R20" s="1142"/>
      <c r="S20" s="1142"/>
      <c r="T20" s="1142"/>
      <c r="U20" s="1142"/>
      <c r="V20" s="1142"/>
      <c r="W20" s="1142"/>
      <c r="X20" s="1142"/>
      <c r="Y20" s="1142"/>
      <c r="Z20" s="1142"/>
      <c r="AA20" s="1142"/>
      <c r="AB20" s="1142"/>
      <c r="AC20" s="1142"/>
      <c r="AD20" s="1142"/>
      <c r="AE20" s="1142"/>
      <c r="AF20" s="1142"/>
      <c r="AG20" s="1142"/>
      <c r="AH20" s="1187"/>
      <c r="AI20" s="1179"/>
      <c r="AJ20" s="934">
        <f>SUM(Table10b15[[#This Row],[A]:[Z]])*Table10b15[[#This Row],[Multiplier]]</f>
        <v>0</v>
      </c>
      <c r="AK20"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0"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0" s="1189" t="str">
        <f>IF(AND(OR(Table10b15[[#This Row],[Room Type]]="Bedroom",Table10b15[[#This Row],[Room Type]]="Living Room",Table10b15[[#This Row],[Room Type]]="Dining Room"),Table10b15[[#This Row],[Lit Area (SF)]]&gt;Table10b15[[#This Row],[Watts (Lit Area) 3x]]),"Display Lit Area Warning","")</f>
        <v/>
      </c>
      <c r="AN20" s="709"/>
      <c r="AO20" s="709"/>
    </row>
    <row r="21" spans="1:41" s="614" customFormat="1" x14ac:dyDescent="0.3">
      <c r="B21" s="1182"/>
      <c r="C21" s="1183"/>
      <c r="D21" s="1183"/>
      <c r="E21" s="1184"/>
      <c r="F21" s="1185"/>
      <c r="G21"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1" s="734"/>
      <c r="I21" s="1182"/>
      <c r="J21" s="1142"/>
      <c r="K21" s="1142"/>
      <c r="L21" s="1142"/>
      <c r="M21" s="1142"/>
      <c r="N21" s="1142"/>
      <c r="O21" s="1142"/>
      <c r="P21" s="1142"/>
      <c r="Q21" s="1142"/>
      <c r="R21" s="1142"/>
      <c r="S21" s="1142"/>
      <c r="T21" s="1142"/>
      <c r="U21" s="1142"/>
      <c r="V21" s="1142"/>
      <c r="W21" s="1142"/>
      <c r="X21" s="1142"/>
      <c r="Y21" s="1142"/>
      <c r="Z21" s="1142"/>
      <c r="AA21" s="1142"/>
      <c r="AB21" s="1142"/>
      <c r="AC21" s="1142"/>
      <c r="AD21" s="1142"/>
      <c r="AE21" s="1142"/>
      <c r="AF21" s="1142"/>
      <c r="AG21" s="1142"/>
      <c r="AH21" s="1187"/>
      <c r="AI21" s="1179"/>
      <c r="AJ21" s="934">
        <f>SUM(Table10b15[[#This Row],[A]:[Z]])*Table10b15[[#This Row],[Multiplier]]</f>
        <v>0</v>
      </c>
      <c r="AK21"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1"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1" s="1189" t="str">
        <f>IF(AND(OR(Table10b15[[#This Row],[Room Type]]="Bedroom",Table10b15[[#This Row],[Room Type]]="Living Room",Table10b15[[#This Row],[Room Type]]="Dining Room"),Table10b15[[#This Row],[Lit Area (SF)]]&gt;Table10b15[[#This Row],[Watts (Lit Area) 3x]]),"Display Lit Area Warning","")</f>
        <v/>
      </c>
      <c r="AN21" s="709"/>
      <c r="AO21" s="709"/>
    </row>
    <row r="22" spans="1:41" s="614" customFormat="1" x14ac:dyDescent="0.3">
      <c r="B22" s="1182"/>
      <c r="C22" s="1183"/>
      <c r="D22" s="1183"/>
      <c r="E22" s="1184"/>
      <c r="F22" s="1185"/>
      <c r="G22"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2" s="734"/>
      <c r="I22" s="1182"/>
      <c r="J22" s="1142"/>
      <c r="K22" s="1142"/>
      <c r="L22" s="1142"/>
      <c r="M22" s="1142"/>
      <c r="N22" s="1142"/>
      <c r="O22" s="1142"/>
      <c r="P22" s="1142"/>
      <c r="Q22" s="1142"/>
      <c r="R22" s="1142"/>
      <c r="S22" s="1142"/>
      <c r="T22" s="1142"/>
      <c r="U22" s="1142"/>
      <c r="V22" s="1142"/>
      <c r="W22" s="1142"/>
      <c r="X22" s="1142"/>
      <c r="Y22" s="1142"/>
      <c r="Z22" s="1142"/>
      <c r="AA22" s="1142"/>
      <c r="AB22" s="1142"/>
      <c r="AC22" s="1142"/>
      <c r="AD22" s="1142"/>
      <c r="AE22" s="1142"/>
      <c r="AF22" s="1142"/>
      <c r="AG22" s="1142"/>
      <c r="AH22" s="1187"/>
      <c r="AI22" s="1179"/>
      <c r="AJ22" s="934">
        <f>SUM(Table10b15[[#This Row],[A]:[Z]])*Table10b15[[#This Row],[Multiplier]]</f>
        <v>0</v>
      </c>
      <c r="AK22"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2"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2" s="1189" t="str">
        <f>IF(AND(OR(Table10b15[[#This Row],[Room Type]]="Bedroom",Table10b15[[#This Row],[Room Type]]="Living Room",Table10b15[[#This Row],[Room Type]]="Dining Room"),Table10b15[[#This Row],[Lit Area (SF)]]&gt;Table10b15[[#This Row],[Watts (Lit Area) 3x]]),"Display Lit Area Warning","")</f>
        <v/>
      </c>
      <c r="AN22" s="709"/>
      <c r="AO22" s="709"/>
    </row>
    <row r="23" spans="1:41" s="614" customFormat="1" x14ac:dyDescent="0.3">
      <c r="B23" s="1182"/>
      <c r="C23" s="1183"/>
      <c r="D23" s="1183"/>
      <c r="E23" s="1184"/>
      <c r="F23" s="1185"/>
      <c r="G23"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3" s="734"/>
      <c r="I23" s="1182"/>
      <c r="J23" s="1142"/>
      <c r="K23" s="1142"/>
      <c r="L23" s="1142"/>
      <c r="M23" s="1142"/>
      <c r="N23" s="1142"/>
      <c r="O23" s="1142"/>
      <c r="P23" s="1142"/>
      <c r="Q23" s="1142"/>
      <c r="R23" s="1142"/>
      <c r="S23" s="1142"/>
      <c r="T23" s="1142"/>
      <c r="U23" s="1142"/>
      <c r="V23" s="1142"/>
      <c r="W23" s="1142"/>
      <c r="X23" s="1142"/>
      <c r="Y23" s="1142"/>
      <c r="Z23" s="1142"/>
      <c r="AA23" s="1142"/>
      <c r="AB23" s="1142"/>
      <c r="AC23" s="1142"/>
      <c r="AD23" s="1142"/>
      <c r="AE23" s="1142"/>
      <c r="AF23" s="1142"/>
      <c r="AG23" s="1142"/>
      <c r="AH23" s="1187"/>
      <c r="AI23" s="1179"/>
      <c r="AJ23" s="934">
        <f>SUM(Table10b15[[#This Row],[A]:[Z]])*Table10b15[[#This Row],[Multiplier]]</f>
        <v>0</v>
      </c>
      <c r="AK23"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3"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3" s="1189" t="str">
        <f>IF(AND(OR(Table10b15[[#This Row],[Room Type]]="Bedroom",Table10b15[[#This Row],[Room Type]]="Living Room",Table10b15[[#This Row],[Room Type]]="Dining Room"),Table10b15[[#This Row],[Lit Area (SF)]]&gt;Table10b15[[#This Row],[Watts (Lit Area) 3x]]),"Display Lit Area Warning","")</f>
        <v/>
      </c>
      <c r="AN23" s="709"/>
      <c r="AO23" s="709"/>
    </row>
    <row r="24" spans="1:41" s="614" customFormat="1" x14ac:dyDescent="0.3">
      <c r="B24" s="1182"/>
      <c r="C24" s="1183"/>
      <c r="D24" s="1183"/>
      <c r="E24" s="1184"/>
      <c r="F24" s="1185"/>
      <c r="G24"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4" s="734"/>
      <c r="I24" s="1182"/>
      <c r="J24" s="1142"/>
      <c r="K24" s="1142"/>
      <c r="L24" s="1142"/>
      <c r="M24" s="1142"/>
      <c r="N24" s="1142"/>
      <c r="O24" s="1142"/>
      <c r="P24" s="1142"/>
      <c r="Q24" s="1142"/>
      <c r="R24" s="1142"/>
      <c r="S24" s="1142"/>
      <c r="T24" s="1142"/>
      <c r="U24" s="1142"/>
      <c r="V24" s="1142"/>
      <c r="W24" s="1142"/>
      <c r="X24" s="1142"/>
      <c r="Y24" s="1142"/>
      <c r="Z24" s="1142"/>
      <c r="AA24" s="1142"/>
      <c r="AB24" s="1142"/>
      <c r="AC24" s="1142"/>
      <c r="AD24" s="1142"/>
      <c r="AE24" s="1142"/>
      <c r="AF24" s="1142"/>
      <c r="AG24" s="1142"/>
      <c r="AH24" s="1187"/>
      <c r="AI24" s="1179"/>
      <c r="AJ24" s="934">
        <f>SUM(Table10b15[[#This Row],[A]:[Z]])*Table10b15[[#This Row],[Multiplier]]</f>
        <v>0</v>
      </c>
      <c r="AK24"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4"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4" s="1189" t="str">
        <f>IF(AND(OR(Table10b15[[#This Row],[Room Type]]="Bedroom",Table10b15[[#This Row],[Room Type]]="Living Room",Table10b15[[#This Row],[Room Type]]="Dining Room"),Table10b15[[#This Row],[Lit Area (SF)]]&gt;Table10b15[[#This Row],[Watts (Lit Area) 3x]]),"Display Lit Area Warning","")</f>
        <v/>
      </c>
      <c r="AN24" s="709"/>
      <c r="AO24" s="709"/>
    </row>
    <row r="25" spans="1:41" s="614" customFormat="1" x14ac:dyDescent="0.3">
      <c r="B25" s="1182"/>
      <c r="C25" s="1183"/>
      <c r="D25" s="1183"/>
      <c r="E25" s="1184"/>
      <c r="F25" s="1185"/>
      <c r="G25"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5" s="734"/>
      <c r="I25" s="1182"/>
      <c r="J25" s="1142"/>
      <c r="K25" s="1142"/>
      <c r="L25" s="1142"/>
      <c r="M25" s="1142"/>
      <c r="N25" s="1142"/>
      <c r="O25" s="1142"/>
      <c r="P25" s="1142"/>
      <c r="Q25" s="1142"/>
      <c r="R25" s="1142"/>
      <c r="S25" s="1142"/>
      <c r="T25" s="1142"/>
      <c r="U25" s="1142"/>
      <c r="V25" s="1142"/>
      <c r="W25" s="1142"/>
      <c r="X25" s="1142"/>
      <c r="Y25" s="1142"/>
      <c r="Z25" s="1142"/>
      <c r="AA25" s="1142"/>
      <c r="AB25" s="1142"/>
      <c r="AC25" s="1142"/>
      <c r="AD25" s="1142"/>
      <c r="AE25" s="1142"/>
      <c r="AF25" s="1142"/>
      <c r="AG25" s="1142"/>
      <c r="AH25" s="1187"/>
      <c r="AI25" s="1179"/>
      <c r="AJ25" s="934">
        <f>SUM(Table10b15[[#This Row],[A]:[Z]])*Table10b15[[#This Row],[Multiplier]]</f>
        <v>0</v>
      </c>
      <c r="AK25"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5"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5" s="1189" t="str">
        <f>IF(AND(OR(Table10b15[[#This Row],[Room Type]]="Bedroom",Table10b15[[#This Row],[Room Type]]="Living Room",Table10b15[[#This Row],[Room Type]]="Dining Room"),Table10b15[[#This Row],[Lit Area (SF)]]&gt;Table10b15[[#This Row],[Watts (Lit Area) 3x]]),"Display Lit Area Warning","")</f>
        <v/>
      </c>
      <c r="AN25" s="709"/>
      <c r="AO25" s="709"/>
    </row>
    <row r="26" spans="1:41" s="614" customFormat="1" x14ac:dyDescent="0.3">
      <c r="B26" s="1182"/>
      <c r="C26" s="1183"/>
      <c r="D26" s="1183"/>
      <c r="E26" s="1184"/>
      <c r="F26" s="1185"/>
      <c r="G26"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6" s="734"/>
      <c r="I26" s="118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87"/>
      <c r="AI26" s="1179"/>
      <c r="AJ26" s="934">
        <f>SUM(Table10b15[[#This Row],[A]:[Z]])*Table10b15[[#This Row],[Multiplier]]</f>
        <v>0</v>
      </c>
      <c r="AK26"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6"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6" s="1189" t="str">
        <f>IF(AND(OR(Table10b15[[#This Row],[Room Type]]="Bedroom",Table10b15[[#This Row],[Room Type]]="Living Room",Table10b15[[#This Row],[Room Type]]="Dining Room"),Table10b15[[#This Row],[Lit Area (SF)]]&gt;Table10b15[[#This Row],[Watts (Lit Area) 3x]]),"Display Lit Area Warning","")</f>
        <v/>
      </c>
      <c r="AN26" s="709"/>
      <c r="AO26" s="709"/>
    </row>
    <row r="27" spans="1:41" s="614" customFormat="1" x14ac:dyDescent="0.3">
      <c r="B27" s="1182"/>
      <c r="C27" s="1183"/>
      <c r="D27" s="1183"/>
      <c r="E27" s="1184"/>
      <c r="F27" s="1185"/>
      <c r="G27"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7" s="734"/>
      <c r="I27" s="1182"/>
      <c r="J27" s="1142"/>
      <c r="K27" s="1142"/>
      <c r="L27" s="1142"/>
      <c r="M27" s="1142"/>
      <c r="N27" s="1142"/>
      <c r="O27" s="1142"/>
      <c r="P27" s="1142"/>
      <c r="Q27" s="1142"/>
      <c r="R27" s="1142"/>
      <c r="S27" s="1142"/>
      <c r="T27" s="1142"/>
      <c r="U27" s="1142"/>
      <c r="V27" s="1142"/>
      <c r="W27" s="1142"/>
      <c r="X27" s="1142"/>
      <c r="Y27" s="1142"/>
      <c r="Z27" s="1142"/>
      <c r="AA27" s="1142"/>
      <c r="AB27" s="1142"/>
      <c r="AC27" s="1142"/>
      <c r="AD27" s="1142"/>
      <c r="AE27" s="1142"/>
      <c r="AF27" s="1142"/>
      <c r="AG27" s="1142"/>
      <c r="AH27" s="1187"/>
      <c r="AI27" s="1179"/>
      <c r="AJ27" s="934">
        <f>SUM(Table10b15[[#This Row],[A]:[Z]])*Table10b15[[#This Row],[Multiplier]]</f>
        <v>0</v>
      </c>
      <c r="AK27"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7"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7" s="1189" t="str">
        <f>IF(AND(OR(Table10b15[[#This Row],[Room Type]]="Bedroom",Table10b15[[#This Row],[Room Type]]="Living Room",Table10b15[[#This Row],[Room Type]]="Dining Room"),Table10b15[[#This Row],[Lit Area (SF)]]&gt;Table10b15[[#This Row],[Watts (Lit Area) 3x]]),"Display Lit Area Warning","")</f>
        <v/>
      </c>
      <c r="AN27" s="709"/>
      <c r="AO27" s="709"/>
    </row>
    <row r="28" spans="1:41" s="614" customFormat="1" x14ac:dyDescent="0.3">
      <c r="B28" s="1182"/>
      <c r="C28" s="1183"/>
      <c r="D28" s="1183"/>
      <c r="E28" s="1184"/>
      <c r="F28" s="1185"/>
      <c r="G28"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8" s="734"/>
      <c r="I28" s="1182"/>
      <c r="J28" s="1142"/>
      <c r="K28" s="1142"/>
      <c r="L28" s="1142"/>
      <c r="M28" s="1142"/>
      <c r="N28" s="1142"/>
      <c r="O28" s="1142"/>
      <c r="P28" s="1142"/>
      <c r="Q28" s="1142"/>
      <c r="R28" s="1142"/>
      <c r="S28" s="1142"/>
      <c r="T28" s="1142"/>
      <c r="U28" s="1142"/>
      <c r="V28" s="1142"/>
      <c r="W28" s="1142"/>
      <c r="X28" s="1142"/>
      <c r="Y28" s="1142"/>
      <c r="Z28" s="1142"/>
      <c r="AA28" s="1142"/>
      <c r="AB28" s="1142"/>
      <c r="AC28" s="1142"/>
      <c r="AD28" s="1142"/>
      <c r="AE28" s="1142"/>
      <c r="AF28" s="1142"/>
      <c r="AG28" s="1142"/>
      <c r="AH28" s="1187"/>
      <c r="AI28" s="1179"/>
      <c r="AJ28" s="934">
        <f>SUM(Table10b15[[#This Row],[A]:[Z]])*Table10b15[[#This Row],[Multiplier]]</f>
        <v>0</v>
      </c>
      <c r="AK28"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8"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8" s="1189" t="str">
        <f>IF(AND(OR(Table10b15[[#This Row],[Room Type]]="Bedroom",Table10b15[[#This Row],[Room Type]]="Living Room",Table10b15[[#This Row],[Room Type]]="Dining Room"),Table10b15[[#This Row],[Lit Area (SF)]]&gt;Table10b15[[#This Row],[Watts (Lit Area) 3x]]),"Display Lit Area Warning","")</f>
        <v/>
      </c>
      <c r="AN28" s="709"/>
      <c r="AO28" s="709"/>
    </row>
    <row r="29" spans="1:41" s="614" customFormat="1" x14ac:dyDescent="0.3">
      <c r="B29" s="1182"/>
      <c r="C29" s="1183"/>
      <c r="D29" s="1183"/>
      <c r="E29" s="1184"/>
      <c r="F29" s="1185"/>
      <c r="G29"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29" s="734"/>
      <c r="I29" s="1182"/>
      <c r="J29" s="1142"/>
      <c r="K29" s="1142"/>
      <c r="L29" s="1142"/>
      <c r="M29" s="1142"/>
      <c r="N29" s="1142"/>
      <c r="O29" s="1142"/>
      <c r="P29" s="1142"/>
      <c r="Q29" s="1142"/>
      <c r="R29" s="1142"/>
      <c r="S29" s="1142"/>
      <c r="T29" s="1142"/>
      <c r="U29" s="1142"/>
      <c r="V29" s="1142"/>
      <c r="W29" s="1142"/>
      <c r="X29" s="1142"/>
      <c r="Y29" s="1142"/>
      <c r="Z29" s="1142"/>
      <c r="AA29" s="1142"/>
      <c r="AB29" s="1142"/>
      <c r="AC29" s="1142"/>
      <c r="AD29" s="1142"/>
      <c r="AE29" s="1142"/>
      <c r="AF29" s="1142"/>
      <c r="AG29" s="1142"/>
      <c r="AH29" s="1187"/>
      <c r="AI29" s="1179"/>
      <c r="AJ29" s="934">
        <f>SUM(Table10b15[[#This Row],[A]:[Z]])*Table10b15[[#This Row],[Multiplier]]</f>
        <v>0</v>
      </c>
      <c r="AK29"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29"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29" s="1189" t="str">
        <f>IF(AND(OR(Table10b15[[#This Row],[Room Type]]="Bedroom",Table10b15[[#This Row],[Room Type]]="Living Room",Table10b15[[#This Row],[Room Type]]="Dining Room"),Table10b15[[#This Row],[Lit Area (SF)]]&gt;Table10b15[[#This Row],[Watts (Lit Area) 3x]]),"Display Lit Area Warning","")</f>
        <v/>
      </c>
      <c r="AN29" s="709"/>
      <c r="AO29" s="709"/>
    </row>
    <row r="30" spans="1:41" s="614" customFormat="1" x14ac:dyDescent="0.3">
      <c r="B30" s="1182"/>
      <c r="C30" s="1183"/>
      <c r="D30" s="1183"/>
      <c r="E30" s="1184"/>
      <c r="F30" s="1185"/>
      <c r="G30"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30" s="734"/>
      <c r="I30" s="1182"/>
      <c r="J30" s="1142"/>
      <c r="K30" s="1142"/>
      <c r="L30" s="1142"/>
      <c r="M30" s="1142"/>
      <c r="N30" s="1142"/>
      <c r="O30" s="1142"/>
      <c r="P30" s="1142"/>
      <c r="Q30" s="1142"/>
      <c r="R30" s="1142"/>
      <c r="S30" s="1142"/>
      <c r="T30" s="1142"/>
      <c r="U30" s="1142"/>
      <c r="V30" s="1142"/>
      <c r="W30" s="1142"/>
      <c r="X30" s="1142"/>
      <c r="Y30" s="1142"/>
      <c r="Z30" s="1142"/>
      <c r="AA30" s="1142"/>
      <c r="AB30" s="1142"/>
      <c r="AC30" s="1142"/>
      <c r="AD30" s="1142"/>
      <c r="AE30" s="1142"/>
      <c r="AF30" s="1142"/>
      <c r="AG30" s="1142"/>
      <c r="AH30" s="1187"/>
      <c r="AI30" s="1179"/>
      <c r="AJ30" s="934">
        <f>SUM(Table10b15[[#This Row],[A]:[Z]])*Table10b15[[#This Row],[Multiplier]]</f>
        <v>0</v>
      </c>
      <c r="AK30" s="76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30" s="1188">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30" s="1189" t="str">
        <f>IF(AND(OR(Table10b15[[#This Row],[Room Type]]="Bedroom",Table10b15[[#This Row],[Room Type]]="Living Room",Table10b15[[#This Row],[Room Type]]="Dining Room"),Table10b15[[#This Row],[Lit Area (SF)]]&gt;Table10b15[[#This Row],[Watts (Lit Area) 3x]]),"Display Lit Area Warning","")</f>
        <v/>
      </c>
      <c r="AN30" s="709"/>
      <c r="AO30" s="709"/>
    </row>
    <row r="31" spans="1:41" s="614" customFormat="1" ht="13.8" thickBot="1" x14ac:dyDescent="0.35">
      <c r="B31" s="1190"/>
      <c r="C31" s="1191"/>
      <c r="D31" s="1191"/>
      <c r="E31" s="1192"/>
      <c r="F31" s="1193"/>
      <c r="G31" s="1186" t="str">
        <f>IFERROR(SUM(Table10b15[[#This Row],[Unlit Area (SF)]]*1.07,Table10b15[[#This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Row],[Z]]*$AH$14)/Table10b15[[#This Row],[Lit Area (SF)]],"")</f>
        <v/>
      </c>
      <c r="H31" s="734"/>
      <c r="I31" s="1194"/>
      <c r="J31" s="1195"/>
      <c r="K31" s="1195"/>
      <c r="L31" s="1195"/>
      <c r="M31" s="1195"/>
      <c r="N31" s="1195"/>
      <c r="O31" s="1195"/>
      <c r="P31" s="1195"/>
      <c r="Q31" s="1195"/>
      <c r="R31" s="1195"/>
      <c r="S31" s="1195"/>
      <c r="T31" s="1195"/>
      <c r="U31" s="1195"/>
      <c r="V31" s="1195"/>
      <c r="W31" s="1195"/>
      <c r="X31" s="1195"/>
      <c r="Y31" s="1195"/>
      <c r="Z31" s="1195"/>
      <c r="AA31" s="1195"/>
      <c r="AB31" s="1195"/>
      <c r="AC31" s="1195"/>
      <c r="AD31" s="1195"/>
      <c r="AE31" s="1195"/>
      <c r="AF31" s="1195"/>
      <c r="AG31" s="1195"/>
      <c r="AH31" s="1196"/>
      <c r="AI31" s="1179"/>
      <c r="AJ31" s="1197">
        <f>SUM(Table10b15[[#This Row],[A]:[Z]])*Table10b15[[#This Row],[Multiplier]]</f>
        <v>0</v>
      </c>
      <c r="AK31" s="1198">
        <f>SUM(IF(OR($I$15="Tier I",$I$15="Tier II",$I$15="ES"),Table10b15[[#This Row],[A]]*Table10b15[[#This Row],[Multiplier]],0),
IF(OR($J$15="Tier I",$J$15="Tier II",$J$15="ES"),Table10b15[[#This Row],[B]]*Table10b15[[#This Row],[Multiplier]],0),
IF(OR($K$15="Tier I",$K$15="Tier II",$K$15="ES"),Table10b15[[#This Row],[C]]*Table10b15[[#This Row],[Multiplier]],0),
IF(OR($L$15="Tier I",$L$15="Tier II",$L$15="ES"),Table10b15[[#This Row],[D]]*Table10b15[[#This Row],[Multiplier]],0),
IF(OR($M$15="Tier I",$M$15="Tier II",$M$15="ES"),Table10b15[[#This Row],[E]]*Table10b15[[#This Row],[Multiplier]],0),
IF(OR($N$15="Tier I",$N$15="Tier II",$N$15="ES"),Table10b15[[#This Row],[F]]*Table10b15[[#This Row],[Multiplier]],0),
IF(OR($O$15="Tier I",$O$15="Tier II",$O$15="ES"),Table10b15[[#This Row],[G]]*Table10b15[[#This Row],[Multiplier]],0),
IF(OR($P$15="Tier I",$P$15="Tier II",$P$15="ES"),Table10b15[[#This Row],[H]]*Table10b15[[#This Row],[Multiplier]],0),
IF(OR($Q$15="Tier I",$Q$15="Tier II",$Q$15="ES"),Table10b15[[#This Row],[I]]*Table10b15[[#This Row],[Multiplier]],0),
IF(OR($R$15="Tier I",$R$15="Tier II",$R$15="ES"),Table10b15[[#This Row],[J]]*Table10b15[[#This Row],[Multiplier]],0),
IF(OR($S$15="Tier I",$S$15="Tier II",$S$15="ES"),Table10b15[[#This Row],[K]]*Table10b15[[#This Row],[Multiplier]],0),
IF(OR($T$15="Tier I",$T$15="Tier II",$T$15="ES"),Table10b15[[#This Row],[L]]*Table10b15[[#This Row],[Multiplier]],0),
IF(OR($U$15="Tier I",$U$15="Tier II",$U$15="ES"),Table10b15[[#This Row],[M]]*Table10b15[[#This Row],[Multiplier]],0),
IF(OR($V$15="Tier I",$V$15="Tier II",$V$15="ES"),Table10b15[[#This Row],[N]]*Table10b15[[#This Row],[Multiplier]],0),
IF(OR($W$15="Tier I",$W$15="Tier II",$W$15="ES"),Table10b15[[#This Row],[O]]*Table10b15[[#This Row],[Multiplier]],0),
IF(OR($X$15="Tier I",$X$15="Tier II",$X$15="ES"),Table10b15[[#This Row],[P]]*Table10b15[[#This Row],[Multiplier]],0),
IF(OR($Y$15="Tier I",$Y$15="Tier II",$Y$15="ES"),Table10b15[[#This Row],[Q]]*Table10b15[[#This Row],[Multiplier]],0),
IF(OR($Z$15="Tier I",$Z$15="Tier II",$Z$15="ES"),Table10b15[[#This Row],[R]]*Table10b15[[#This Row],[Multiplier]],0),
IF(OR($AA$15="Tier I",$AA$15="Tier II",$AA$15="ES"),Table10b15[[#This Row],[S]]*Table10b15[[#This Row],[Multiplier]],0),
IF(OR($AB$15="Tier I",$AB$15="Tier II",$AB$15="ES"),Table10b15[[#This Row],[T]]*Table10b15[[#This Row],[Multiplier]],0),
IF(OR($AC$15="Tier I",$AC$15="Tier II",$AC$15="ES"),Table10b15[[#This Row],[U]]*Table10b15[[#This Row],[Multiplier]],0),
IF(OR($AD$15="Tier I",$AD$15="Tier II",$AD$15="ES"),Table10b15[[#This Row],[V]]*Table10b15[[#This Row],[Multiplier]],0),
IF(OR($AE$15="Tier I",$AE$15="Tier II",$AE$15="ES"),Table10b15[[#This Row],[W]]*Table10b15[[#This Row],[Multiplier]],0),
IF(OR($AF$15="Tier I",$AF$15="Tier II",$AF$15="ES"),Table10b15[[#This Row],[X]]*Table10b15[[#This Row],[Multiplier]],0),
IF(OR($AG$15="Tier I",$AG$15="Tier II",$AG$15="ES"),Table10b15[[#This Row],[Y]]*Table10b15[[#This Row],[Multiplier]],0),
IF(OR($AH$15="Tier I",$AH$15="Tier II",$AH$15="ES"),Table10b15[[#This Row],[Z]]*Table10b15[[#This Row],[Multiplier]],0))</f>
        <v>0</v>
      </c>
      <c r="AL31" s="1199">
        <f>SUM(Table10b15[[#This Row],[A]]*$I$14,Table10b15[[#This Row],[B]]*$J$14,Table10b15[[#This Row],[C]]*$K$14,Table10b15[[#This Row],[D]]*$L$14,Table10b15[[#This Row],[E]]*$M$14,Table10b15[[#This Row],[F]]*$N$14,Table10b15[[#This Row],[G]]*$O$14,Table10b15[[#This Row],[H]]*$P$14,Table10b15[[#This Row],[I]]*$Q$14,Table10b15[[#This Row],[J]]*$R$14,Table10b15[[#This Row],[K]]*$S$14,Table10b15[[#This Row],[L]]*$T$14,Table10b15[[#This Row],[M]]*$U$14,Table10b15[[#This Row],[N]]*$V$14,Table10b15[[#This Row],[O]]*$W$14,Table10b15[[#This Row],[P]]*$X$14,Table10b15[[#This Row],[Q]]*$Y$14,Table10b15[[#This Row],[R]]*$Z$14,Table10b15[[#This Row],[S]]*$AA$14,Table10b15[[#This Row],[T]]*$AB$14,Table10b15[[#This Row],[U]]*$AC$14,Table10b15[[#This Row],[V]]*$AD$14,Table10b15[[#This Row],[W]]*$AE$14,Table10b15[[#This Row],[X]]*$AF$14,Table10b15[[#This Row],[Y]]*$AG$14,Table10b15[[#This Row],[Z]]*$AH$14)*3</f>
        <v>0</v>
      </c>
      <c r="AM31" s="1200" t="str">
        <f>IF(AND(OR(Table10b15[[#This Row],[Room Type]]="Bedroom",Table10b15[[#This Row],[Room Type]]="Living Room",Table10b15[[#This Row],[Room Type]]="Dining Room"),Table10b15[[#This Row],[Lit Area (SF)]]&gt;Table10b15[[#This Row],[Watts (Lit Area) 3x]]),"Display Lit Area Warning","")</f>
        <v/>
      </c>
      <c r="AN31" s="709"/>
      <c r="AO31" s="709"/>
    </row>
    <row r="32" spans="1:41" s="614" customFormat="1" ht="13.8" thickBot="1" x14ac:dyDescent="0.35">
      <c r="B32" s="1201" t="s">
        <v>1372</v>
      </c>
      <c r="C32" s="1202" t="str">
        <f>IF(COUNTA(C19:C$31)=0,"",COUNTA(C19:C$31))</f>
        <v/>
      </c>
      <c r="D32" s="1202"/>
      <c r="E32" s="1203" t="str">
        <f>IF(SUM(E19:E$31)=0,"",SUMPRODUCT(E19:E$31,B19:B$31))</f>
        <v/>
      </c>
      <c r="F32" s="1204" t="str">
        <f>IF(SUM(F19:F$31)=0,"",SUMPRODUCT(F19:F$31,$B19:$B$31))</f>
        <v/>
      </c>
      <c r="G32" s="1205" t="str">
        <f>IFERROR(SUM($F$32*1.07,SUMPRODUCT($I$14:$AH$14,$I$32:$AH$32))/$E$32,"")</f>
        <v/>
      </c>
      <c r="H32" s="709"/>
      <c r="I32" s="1206">
        <f>SUMPRODUCT(I19:I$31,$B19:$B$31)</f>
        <v>0</v>
      </c>
      <c r="J32" s="1206">
        <f>SUMPRODUCT(J19:J$31,$B19:$B$31)</f>
        <v>0</v>
      </c>
      <c r="K32" s="1206">
        <f>SUMPRODUCT(K19:K$31,$B19:$B$31)</f>
        <v>0</v>
      </c>
      <c r="L32" s="1206">
        <f>SUMPRODUCT(L19:L$31,$B19:$B$31)</f>
        <v>0</v>
      </c>
      <c r="M32" s="1206">
        <f>SUMPRODUCT(M19:M$31,$B19:$B$31)</f>
        <v>0</v>
      </c>
      <c r="N32" s="1206">
        <f>SUMPRODUCT(N19:N$31,$B19:$B$31)</f>
        <v>0</v>
      </c>
      <c r="O32" s="1206">
        <f>SUMPRODUCT(O19:O$31,$B19:$B$31)</f>
        <v>0</v>
      </c>
      <c r="P32" s="1206">
        <f>SUMPRODUCT(P19:P$31,$B19:$B$31)</f>
        <v>0</v>
      </c>
      <c r="Q32" s="1206">
        <f>SUMPRODUCT(Q19:Q$31,$B19:$B$31)</f>
        <v>0</v>
      </c>
      <c r="R32" s="1206">
        <f>SUMPRODUCT(R19:R$31,$B19:$B$31)</f>
        <v>0</v>
      </c>
      <c r="S32" s="1206">
        <f>SUMPRODUCT(S19:S$31,$B19:$B$31)</f>
        <v>0</v>
      </c>
      <c r="T32" s="1206">
        <f>SUMPRODUCT(T19:T$31,$B19:$B$31)</f>
        <v>0</v>
      </c>
      <c r="U32" s="1206">
        <f>SUMPRODUCT(U19:U$31,$B19:$B$31)</f>
        <v>0</v>
      </c>
      <c r="V32" s="1206">
        <f>SUMPRODUCT(V19:V$31,$B19:$B$31)</f>
        <v>0</v>
      </c>
      <c r="W32" s="1206">
        <f>SUMPRODUCT(W19:W$31,$B19:$B$31)</f>
        <v>0</v>
      </c>
      <c r="X32" s="1206">
        <f>SUMPRODUCT(X19:X$31,$B19:$B$31)</f>
        <v>0</v>
      </c>
      <c r="Y32" s="1206">
        <f>SUMPRODUCT(Y19:Y$31,$B19:$B$31)</f>
        <v>0</v>
      </c>
      <c r="Z32" s="1206">
        <f>SUMPRODUCT(Z19:Z$31,$B19:$B$31)</f>
        <v>0</v>
      </c>
      <c r="AA32" s="1206">
        <f>SUMPRODUCT(AA19:AA$31,$B19:$B$31)</f>
        <v>0</v>
      </c>
      <c r="AB32" s="1206">
        <f>SUMPRODUCT(AB19:AB$31,$B19:$B$31)</f>
        <v>0</v>
      </c>
      <c r="AC32" s="1206">
        <f>SUMPRODUCT(AC19:AC$31,$B19:$B$31)</f>
        <v>0</v>
      </c>
      <c r="AD32" s="1206">
        <f>SUMPRODUCT(AD19:AD$31,$B19:$B$31)</f>
        <v>0</v>
      </c>
      <c r="AE32" s="1206">
        <f>SUMPRODUCT(AE19:AE$31,$B19:$B$31)</f>
        <v>0</v>
      </c>
      <c r="AF32" s="1206">
        <f>SUMPRODUCT(AF19:AF$31,$B19:$B$31)</f>
        <v>0</v>
      </c>
      <c r="AG32" s="1206">
        <f>SUMPRODUCT(AG19:AG$31,$B19:$B$31)</f>
        <v>0</v>
      </c>
      <c r="AH32" s="1206">
        <f>SUMPRODUCT(AH19:AH$31,$B19:$B$31)</f>
        <v>0</v>
      </c>
      <c r="AJ32" s="1200">
        <f>SUM(Table10b15[Total Fixtures])</f>
        <v>0</v>
      </c>
      <c r="AK32" s="1207">
        <f>SUM(Table10b15[TierI/TierII/ES Fixtures])</f>
        <v>0</v>
      </c>
    </row>
    <row r="33" spans="1:47" ht="13.8" thickBot="1" x14ac:dyDescent="0.3">
      <c r="O33" s="1106"/>
      <c r="W33" s="604"/>
      <c r="X33" s="604"/>
      <c r="Y33" s="604"/>
      <c r="Z33" s="604"/>
      <c r="AA33" s="604"/>
      <c r="AB33" s="604"/>
      <c r="AC33" s="604"/>
      <c r="AD33" s="604"/>
      <c r="AE33" s="604"/>
      <c r="AF33" s="604"/>
    </row>
    <row r="34" spans="1:47" ht="13.8" thickBot="1" x14ac:dyDescent="0.3">
      <c r="B34" s="1901" t="str">
        <f>IF(COUNTIF(Table10b15[Warning?],"Display Lit Area Warning")&lt;&gt;0,"In one or more highlighted spaces above, the Lit Area exceeds the 3 ft2/W permitted. Please reduce the Lit Area until the requirement has been met.","")</f>
        <v/>
      </c>
      <c r="C34" s="1902"/>
      <c r="D34" s="1902"/>
      <c r="E34" s="1902"/>
      <c r="F34" s="1902"/>
      <c r="G34" s="1902"/>
      <c r="H34" s="1902"/>
      <c r="I34" s="1902"/>
      <c r="J34" s="1902"/>
      <c r="K34" s="1903"/>
      <c r="O34" s="1106"/>
      <c r="W34" s="604"/>
      <c r="X34" s="604"/>
      <c r="Y34" s="604"/>
      <c r="Z34" s="604"/>
      <c r="AA34" s="604"/>
      <c r="AB34" s="604"/>
      <c r="AC34" s="604"/>
      <c r="AD34" s="604"/>
      <c r="AE34" s="604"/>
      <c r="AF34" s="604"/>
    </row>
    <row r="35" spans="1:47" ht="13.8" thickBot="1" x14ac:dyDescent="0.3">
      <c r="B35" s="601"/>
      <c r="O35" s="1106"/>
      <c r="W35" s="604"/>
      <c r="X35" s="604"/>
      <c r="Y35" s="604"/>
      <c r="Z35" s="604"/>
      <c r="AA35" s="604"/>
      <c r="AB35" s="604"/>
      <c r="AC35" s="604"/>
      <c r="AD35" s="604"/>
      <c r="AE35" s="604"/>
      <c r="AF35" s="604"/>
    </row>
    <row r="36" spans="1:47" ht="32.25" customHeight="1" thickBot="1" x14ac:dyDescent="0.3">
      <c r="B36" s="1875" t="s">
        <v>1373</v>
      </c>
      <c r="C36" s="1876"/>
      <c r="D36" s="1876"/>
      <c r="E36" s="1876"/>
      <c r="F36" s="1876"/>
      <c r="G36" s="1876"/>
      <c r="H36" s="1876"/>
      <c r="I36" s="1876"/>
      <c r="J36" s="1876"/>
      <c r="K36" s="1876"/>
      <c r="L36" s="1876"/>
      <c r="M36" s="1876"/>
      <c r="N36" s="1876"/>
      <c r="O36" s="1877"/>
      <c r="P36" s="1208"/>
      <c r="Q36" s="1208"/>
      <c r="R36" s="1208"/>
      <c r="S36" s="1208"/>
      <c r="W36" s="603"/>
      <c r="X36" s="603"/>
      <c r="Y36" s="603"/>
      <c r="Z36" s="603"/>
      <c r="AA36" s="603"/>
      <c r="AB36" s="603"/>
      <c r="AC36" s="604"/>
      <c r="AD36" s="604"/>
      <c r="AE36" s="604"/>
      <c r="AF36" s="604"/>
    </row>
    <row r="37" spans="1:47" ht="12.9" customHeight="1" thickBot="1" x14ac:dyDescent="0.3">
      <c r="B37" s="349"/>
      <c r="W37" s="603"/>
      <c r="X37" s="603"/>
      <c r="Y37" s="603"/>
      <c r="Z37" s="603"/>
      <c r="AA37" s="603"/>
      <c r="AB37" s="603"/>
      <c r="AC37" s="604"/>
      <c r="AD37" s="604"/>
      <c r="AE37" s="604"/>
      <c r="AF37" s="604"/>
    </row>
    <row r="38" spans="1:47" s="614" customFormat="1" ht="16.350000000000001" customHeight="1" x14ac:dyDescent="0.3">
      <c r="B38" s="1878" t="s">
        <v>1338</v>
      </c>
      <c r="C38" s="1879"/>
      <c r="D38" s="1136">
        <f>SUM($AJ$55,$AJ$67)</f>
        <v>0</v>
      </c>
      <c r="E38" s="600"/>
      <c r="H38" s="1209" t="s">
        <v>1339</v>
      </c>
      <c r="I38" s="1138" t="s">
        <v>33</v>
      </c>
      <c r="J38" s="1138" t="s">
        <v>34</v>
      </c>
      <c r="K38" s="1138" t="s">
        <v>35</v>
      </c>
      <c r="L38" s="1138" t="s">
        <v>36</v>
      </c>
      <c r="M38" s="1138" t="s">
        <v>84</v>
      </c>
      <c r="N38" s="1138" t="s">
        <v>85</v>
      </c>
      <c r="O38" s="1138" t="s">
        <v>86</v>
      </c>
      <c r="P38" s="1138" t="s">
        <v>1340</v>
      </c>
      <c r="Q38" s="1138" t="s">
        <v>1341</v>
      </c>
      <c r="R38" s="1138" t="s">
        <v>1342</v>
      </c>
      <c r="S38" s="1138" t="s">
        <v>1343</v>
      </c>
      <c r="T38" s="1138" t="s">
        <v>1344</v>
      </c>
      <c r="U38" s="1138" t="s">
        <v>1345</v>
      </c>
      <c r="V38" s="1138" t="s">
        <v>1346</v>
      </c>
      <c r="W38" s="1138" t="s">
        <v>1347</v>
      </c>
      <c r="X38" s="1138" t="s">
        <v>1348</v>
      </c>
      <c r="Y38" s="1138" t="s">
        <v>1349</v>
      </c>
      <c r="Z38" s="1138" t="s">
        <v>1350</v>
      </c>
      <c r="AA38" s="1138" t="s">
        <v>1351</v>
      </c>
      <c r="AB38" s="1138" t="s">
        <v>1352</v>
      </c>
      <c r="AC38" s="1138" t="s">
        <v>1353</v>
      </c>
      <c r="AD38" s="1138" t="s">
        <v>1354</v>
      </c>
      <c r="AE38" s="1138" t="s">
        <v>1355</v>
      </c>
      <c r="AF38" s="1138" t="s">
        <v>415</v>
      </c>
      <c r="AG38" s="1138" t="s">
        <v>1356</v>
      </c>
      <c r="AH38" s="1139" t="s">
        <v>1357</v>
      </c>
    </row>
    <row r="39" spans="1:47" s="614" customFormat="1" x14ac:dyDescent="0.3">
      <c r="B39" s="1899" t="s">
        <v>1358</v>
      </c>
      <c r="C39" s="1900"/>
      <c r="D39" s="1140" t="str">
        <f>IF(AJ$55=0,"",
IF((AK$55/AJ$55)&gt;0.9,"PASS","FAIL"))</f>
        <v/>
      </c>
      <c r="E39" s="709"/>
      <c r="H39" s="1210" t="s">
        <v>1359</v>
      </c>
      <c r="I39" s="1142">
        <v>10</v>
      </c>
      <c r="J39" s="1142">
        <v>10</v>
      </c>
      <c r="K39" s="1142">
        <v>15</v>
      </c>
      <c r="L39" s="1142">
        <v>20</v>
      </c>
      <c r="M39" s="1142">
        <v>30</v>
      </c>
      <c r="N39" s="1142"/>
      <c r="O39" s="1142"/>
      <c r="P39" s="1142"/>
      <c r="Q39" s="1142"/>
      <c r="R39" s="1142"/>
      <c r="S39" s="1142"/>
      <c r="T39" s="1142"/>
      <c r="U39" s="1142"/>
      <c r="V39" s="1142"/>
      <c r="W39" s="1142"/>
      <c r="X39" s="1142"/>
      <c r="Y39" s="1142"/>
      <c r="Z39" s="1142"/>
      <c r="AA39" s="1142"/>
      <c r="AB39" s="1142"/>
      <c r="AC39" s="1142"/>
      <c r="AD39" s="1142"/>
      <c r="AE39" s="1142"/>
      <c r="AF39" s="1142"/>
      <c r="AG39" s="1142"/>
      <c r="AH39" s="1143"/>
    </row>
    <row r="40" spans="1:47" s="614" customFormat="1" ht="16.350000000000001" customHeight="1" thickBot="1" x14ac:dyDescent="0.35">
      <c r="B40" s="1880" t="s">
        <v>1374</v>
      </c>
      <c r="C40" s="1881"/>
      <c r="D40" s="1144" t="str">
        <f>IF($AN55="","",
IF($AN55&lt;=$AM55,"PASS","FAIL"))</f>
        <v>PASS</v>
      </c>
      <c r="E40" s="709"/>
      <c r="H40" s="1211" t="s">
        <v>1361</v>
      </c>
      <c r="I40" s="1147" t="s">
        <v>1375</v>
      </c>
      <c r="J40" s="1147" t="s">
        <v>1375</v>
      </c>
      <c r="K40" s="1147" t="s">
        <v>1375</v>
      </c>
      <c r="L40" s="1147" t="s">
        <v>1376</v>
      </c>
      <c r="M40" s="1147" t="s">
        <v>1375</v>
      </c>
      <c r="N40" s="1147"/>
      <c r="O40" s="1147"/>
      <c r="P40" s="1147"/>
      <c r="Q40" s="1147"/>
      <c r="R40" s="1147"/>
      <c r="S40" s="1147"/>
      <c r="T40" s="1147"/>
      <c r="U40" s="1147"/>
      <c r="V40" s="1147"/>
      <c r="W40" s="1147"/>
      <c r="X40" s="1147"/>
      <c r="Y40" s="1147"/>
      <c r="Z40" s="1147"/>
      <c r="AA40" s="1147"/>
      <c r="AB40" s="1147"/>
      <c r="AC40" s="1147"/>
      <c r="AD40" s="1147"/>
      <c r="AE40" s="1147"/>
      <c r="AF40" s="1147"/>
      <c r="AG40" s="1147"/>
      <c r="AH40" s="1148"/>
    </row>
    <row r="41" spans="1:47" s="614" customFormat="1" x14ac:dyDescent="0.3">
      <c r="L41" s="1889"/>
      <c r="M41" s="1889"/>
      <c r="N41" s="600"/>
      <c r="O41" s="600"/>
      <c r="P41" s="600"/>
      <c r="W41" s="640"/>
      <c r="X41" s="640"/>
      <c r="Y41" s="640"/>
      <c r="Z41" s="640"/>
      <c r="AA41" s="640"/>
      <c r="AB41" s="640"/>
      <c r="AC41" s="640"/>
      <c r="AD41" s="640"/>
      <c r="AE41" s="640"/>
      <c r="AF41" s="640"/>
    </row>
    <row r="42" spans="1:47" s="614" customFormat="1" ht="13.8" thickBot="1" x14ac:dyDescent="0.35">
      <c r="B42" s="877"/>
      <c r="C42" s="709"/>
      <c r="D42" s="709"/>
      <c r="E42" s="709"/>
      <c r="F42" s="709"/>
      <c r="G42" s="709"/>
      <c r="H42" s="709"/>
      <c r="I42" s="709"/>
      <c r="J42" s="709"/>
      <c r="K42" s="709"/>
      <c r="L42" s="709"/>
      <c r="M42" s="709"/>
      <c r="N42" s="709"/>
      <c r="O42" s="709"/>
      <c r="P42" s="709"/>
      <c r="Q42" s="709"/>
      <c r="R42" s="600"/>
      <c r="S42" s="600"/>
      <c r="T42" s="600"/>
      <c r="U42" s="600"/>
      <c r="V42" s="600"/>
      <c r="W42" s="640"/>
      <c r="X42" s="734"/>
      <c r="Y42" s="640"/>
      <c r="Z42" s="640"/>
      <c r="AA42" s="640"/>
      <c r="AB42" s="640"/>
      <c r="AC42" s="640"/>
      <c r="AD42" s="640"/>
      <c r="AE42" s="640"/>
      <c r="AF42" s="640"/>
    </row>
    <row r="43" spans="1:47" s="614" customFormat="1" ht="16.5" customHeight="1" thickBot="1" x14ac:dyDescent="0.35">
      <c r="B43" s="1882" t="s">
        <v>1377</v>
      </c>
      <c r="C43" s="1883"/>
      <c r="D43" s="1883"/>
      <c r="E43" s="1873"/>
      <c r="F43" s="1873"/>
      <c r="G43" s="1884"/>
      <c r="H43" s="1212"/>
      <c r="I43" s="1212"/>
      <c r="J43" s="1212"/>
      <c r="K43" s="709"/>
      <c r="L43" s="709"/>
      <c r="M43" s="1213"/>
      <c r="N43" s="1213"/>
      <c r="O43" s="709"/>
      <c r="P43" s="709"/>
      <c r="Q43" s="709"/>
      <c r="R43" s="600"/>
      <c r="S43" s="600"/>
      <c r="T43" s="600"/>
      <c r="U43" s="600"/>
      <c r="V43" s="600"/>
      <c r="W43" s="640"/>
      <c r="X43" s="640"/>
      <c r="Y43" s="640"/>
      <c r="Z43" s="640"/>
      <c r="AA43" s="640"/>
      <c r="AB43" s="640"/>
      <c r="AC43" s="640"/>
      <c r="AD43" s="640"/>
      <c r="AE43" s="640"/>
      <c r="AF43" s="640"/>
    </row>
    <row r="44" spans="1:47" s="614" customFormat="1" ht="13.8" thickBot="1" x14ac:dyDescent="0.35">
      <c r="B44" s="877"/>
      <c r="C44" s="709"/>
      <c r="D44" s="709"/>
      <c r="E44" s="709"/>
      <c r="F44" s="600"/>
      <c r="G44" s="709"/>
      <c r="H44" s="709"/>
      <c r="I44" s="709"/>
      <c r="J44" s="709"/>
      <c r="K44" s="600"/>
      <c r="N44" s="709"/>
      <c r="O44" s="600"/>
      <c r="V44" s="600"/>
      <c r="W44" s="640"/>
      <c r="X44" s="640"/>
      <c r="Y44" s="640"/>
      <c r="Z44" s="640"/>
      <c r="AA44" s="640"/>
      <c r="AB44" s="640"/>
      <c r="AC44" s="640"/>
      <c r="AD44" s="640"/>
      <c r="AE44" s="640"/>
      <c r="AF44" s="640"/>
      <c r="AJ44" s="1214" t="s">
        <v>1247</v>
      </c>
      <c r="AK44" s="1214" t="s">
        <v>1247</v>
      </c>
      <c r="AL44" s="600" t="s">
        <v>1247</v>
      </c>
      <c r="AM44" s="600" t="s">
        <v>1247</v>
      </c>
      <c r="AN44" s="600" t="s">
        <v>1247</v>
      </c>
      <c r="AO44" s="600" t="s">
        <v>1378</v>
      </c>
      <c r="AP44" s="600" t="s">
        <v>1247</v>
      </c>
      <c r="AQ44" s="600" t="s">
        <v>1247</v>
      </c>
    </row>
    <row r="45" spans="1:47" s="614" customFormat="1" ht="18.600000000000001" customHeight="1" thickBot="1" x14ac:dyDescent="0.35">
      <c r="A45" s="801"/>
      <c r="B45" s="1215" t="s">
        <v>1362</v>
      </c>
      <c r="C45" s="880" t="s">
        <v>1379</v>
      </c>
      <c r="D45" s="880" t="s">
        <v>1380</v>
      </c>
      <c r="E45" s="880" t="s">
        <v>1365</v>
      </c>
      <c r="F45" s="880" t="s">
        <v>1381</v>
      </c>
      <c r="G45" s="880" t="s">
        <v>1367</v>
      </c>
      <c r="H45" s="1216" t="s">
        <v>1382</v>
      </c>
      <c r="I45" s="1217" t="str">
        <f>Table10c20[[#Headers],[A]]</f>
        <v>A</v>
      </c>
      <c r="J45" s="1218" t="str">
        <f>Table10c20[[#Headers],[B]]</f>
        <v>B</v>
      </c>
      <c r="K45" s="1218" t="str">
        <f>Table10c20[[#Headers],[C]]</f>
        <v>C</v>
      </c>
      <c r="L45" s="1218" t="str">
        <f>Table10c20[[#Headers],[D]]</f>
        <v>D</v>
      </c>
      <c r="M45" s="1218" t="str">
        <f>Table10c20[[#Headers],[E]]</f>
        <v>E</v>
      </c>
      <c r="N45" s="1218" t="str">
        <f>Table10c20[[#Headers],[F]]</f>
        <v>F</v>
      </c>
      <c r="O45" s="1218" t="str">
        <f>Table10c20[[#Headers],[G]]</f>
        <v>G</v>
      </c>
      <c r="P45" s="1218" t="str">
        <f>Table10c20[[#Headers],[H]]</f>
        <v>H</v>
      </c>
      <c r="Q45" s="1218" t="str">
        <f>Table10c20[[#Headers],[I]]</f>
        <v>I</v>
      </c>
      <c r="R45" s="1218" t="str">
        <f>Table10c20[[#Headers],[J]]</f>
        <v>J</v>
      </c>
      <c r="S45" s="1218" t="str">
        <f>Table10c20[[#Headers],[K]]</f>
        <v>K</v>
      </c>
      <c r="T45" s="1218" t="str">
        <f>Table10c20[[#Headers],[L]]</f>
        <v>L</v>
      </c>
      <c r="U45" s="1218" t="str">
        <f>Table10c20[[#Headers],[M]]</f>
        <v>M</v>
      </c>
      <c r="V45" s="1218" t="str">
        <f>Table10c20[[#Headers],[N]]</f>
        <v>N</v>
      </c>
      <c r="W45" s="1218" t="str">
        <f>Table10c20[[#Headers],[O]]</f>
        <v>O</v>
      </c>
      <c r="X45" s="1218" t="str">
        <f>Table10c20[[#Headers],[P]]</f>
        <v>P</v>
      </c>
      <c r="Y45" s="1218" t="str">
        <f>Table10c20[[#Headers],[Q]]</f>
        <v>Q</v>
      </c>
      <c r="Z45" s="1218" t="str">
        <f>Table10c20[[#Headers],[R]]</f>
        <v>R</v>
      </c>
      <c r="AA45" s="1218" t="str">
        <f>Table10c20[[#Headers],[S]]</f>
        <v>S</v>
      </c>
      <c r="AB45" s="1218" t="str">
        <f>Table10c20[[#Headers],[T]]</f>
        <v>T</v>
      </c>
      <c r="AC45" s="1218" t="str">
        <f>Table10c20[[#Headers],[U]]</f>
        <v>U</v>
      </c>
      <c r="AD45" s="1218" t="str">
        <f>Table10c20[[#Headers],[V]]</f>
        <v>V</v>
      </c>
      <c r="AE45" s="1218" t="str">
        <f>Table10c20[[#Headers],[W]]</f>
        <v>W</v>
      </c>
      <c r="AF45" s="1218" t="str">
        <f>Table10c20[[#Headers],[X]]</f>
        <v>X</v>
      </c>
      <c r="AG45" s="1218" t="str">
        <f>Table10c20[[#Headers],[Y]]</f>
        <v>Y</v>
      </c>
      <c r="AH45" s="1219" t="str">
        <f>Table10c20[[#Headers],[Z]]</f>
        <v>Z</v>
      </c>
      <c r="AJ45" s="880" t="s">
        <v>1368</v>
      </c>
      <c r="AK45" s="880" t="s">
        <v>1383</v>
      </c>
      <c r="AL45" s="1220" t="s">
        <v>1384</v>
      </c>
      <c r="AM45" s="1221" t="s">
        <v>1385</v>
      </c>
      <c r="AN45" s="1221" t="s">
        <v>1386</v>
      </c>
      <c r="AO45" s="1221" t="s">
        <v>1199</v>
      </c>
      <c r="AP45" s="600"/>
      <c r="AQ45" s="600"/>
    </row>
    <row r="46" spans="1:47" s="614" customFormat="1" ht="18" hidden="1" customHeight="1" thickBot="1" x14ac:dyDescent="0.35">
      <c r="B46" s="1165" t="s">
        <v>1362</v>
      </c>
      <c r="C46" s="1166" t="s">
        <v>1379</v>
      </c>
      <c r="D46" s="1166" t="s">
        <v>1380</v>
      </c>
      <c r="E46" s="1166" t="s">
        <v>1365</v>
      </c>
      <c r="F46" s="1166" t="s">
        <v>1381</v>
      </c>
      <c r="G46" s="1166" t="s">
        <v>1367</v>
      </c>
      <c r="H46" s="1222" t="s">
        <v>1382</v>
      </c>
      <c r="I46" s="1223" t="s">
        <v>33</v>
      </c>
      <c r="J46" s="1224" t="s">
        <v>34</v>
      </c>
      <c r="K46" s="1224" t="s">
        <v>35</v>
      </c>
      <c r="L46" s="1224" t="s">
        <v>36</v>
      </c>
      <c r="M46" s="1224" t="s">
        <v>84</v>
      </c>
      <c r="N46" s="1225" t="s">
        <v>85</v>
      </c>
      <c r="O46" s="1225" t="s">
        <v>86</v>
      </c>
      <c r="P46" s="1225" t="s">
        <v>1340</v>
      </c>
      <c r="Q46" s="1225" t="s">
        <v>1341</v>
      </c>
      <c r="R46" s="1225" t="s">
        <v>1342</v>
      </c>
      <c r="S46" s="1225" t="s">
        <v>1343</v>
      </c>
      <c r="T46" s="1225" t="s">
        <v>1344</v>
      </c>
      <c r="U46" s="1225" t="s">
        <v>1345</v>
      </c>
      <c r="V46" s="1225" t="s">
        <v>1346</v>
      </c>
      <c r="W46" s="1225" t="s">
        <v>1347</v>
      </c>
      <c r="X46" s="1225" t="s">
        <v>1348</v>
      </c>
      <c r="Y46" s="1225" t="s">
        <v>1349</v>
      </c>
      <c r="Z46" s="1225" t="s">
        <v>1350</v>
      </c>
      <c r="AA46" s="1225" t="s">
        <v>1351</v>
      </c>
      <c r="AB46" s="1225" t="s">
        <v>1352</v>
      </c>
      <c r="AC46" s="1225" t="s">
        <v>1353</v>
      </c>
      <c r="AD46" s="1225" t="s">
        <v>1354</v>
      </c>
      <c r="AE46" s="1225" t="s">
        <v>1355</v>
      </c>
      <c r="AF46" s="1225" t="s">
        <v>415</v>
      </c>
      <c r="AG46" s="1225" t="s">
        <v>1356</v>
      </c>
      <c r="AH46" s="1226" t="s">
        <v>1357</v>
      </c>
      <c r="AI46" s="1227" t="s">
        <v>1117</v>
      </c>
      <c r="AJ46" s="1166" t="s">
        <v>1368</v>
      </c>
      <c r="AK46" s="1166" t="s">
        <v>1383</v>
      </c>
      <c r="AL46" s="1228" t="s">
        <v>1384</v>
      </c>
      <c r="AM46" s="1229" t="s">
        <v>1385</v>
      </c>
      <c r="AN46" s="1229" t="s">
        <v>1386</v>
      </c>
      <c r="AO46" s="1229" t="s">
        <v>1199</v>
      </c>
      <c r="AP46" s="1170" t="s">
        <v>1387</v>
      </c>
      <c r="AQ46" s="1171" t="s">
        <v>1388</v>
      </c>
      <c r="AR46" s="709"/>
      <c r="AS46" s="709"/>
      <c r="AT46" s="709"/>
      <c r="AU46" s="709"/>
    </row>
    <row r="47" spans="1:47" s="614" customFormat="1" ht="14.4" customHeight="1" x14ac:dyDescent="0.3">
      <c r="B47" s="1177"/>
      <c r="C47" s="1138"/>
      <c r="D47" s="1230"/>
      <c r="E47" s="1231"/>
      <c r="F47" s="1232"/>
      <c r="G47" s="1233"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47" s="1234" t="str">
        <f>IF(AND($E$43="Building Area Method",Table10e80[[#This Row],[ASHRAE Space Type]]&lt;&gt;""),0.7,
IFERROR(VLOOKUP(Table10e80[[#This Row],[ASHRAE Space Type]],[2]!TableRaterFF68[#Data],2,FALSE),
""))</f>
        <v/>
      </c>
      <c r="I47" s="1182"/>
      <c r="J47" s="1142"/>
      <c r="K47" s="1142"/>
      <c r="L47" s="1142"/>
      <c r="M47" s="1142"/>
      <c r="N47" s="1142"/>
      <c r="O47" s="1142"/>
      <c r="P47" s="1142"/>
      <c r="Q47" s="1142"/>
      <c r="R47" s="1142"/>
      <c r="S47" s="1142"/>
      <c r="T47" s="1142"/>
      <c r="U47" s="1142"/>
      <c r="V47" s="1142"/>
      <c r="W47" s="1142"/>
      <c r="X47" s="1142"/>
      <c r="Y47" s="1142"/>
      <c r="Z47" s="1142"/>
      <c r="AA47" s="1142"/>
      <c r="AB47" s="1142"/>
      <c r="AC47" s="1142"/>
      <c r="AD47" s="1142"/>
      <c r="AE47" s="1142"/>
      <c r="AF47" s="1142"/>
      <c r="AG47" s="1142"/>
      <c r="AH47" s="1187"/>
      <c r="AI47" s="1179"/>
      <c r="AJ47" s="1234">
        <f>SUM(Table10e80[[#This Row],[A]:[Z]])*Table10e80[[#This Row],[Multiplier]]</f>
        <v>0</v>
      </c>
      <c r="AK47"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47" s="1236" t="str">
        <f>IF((Table10e80[[#This Row],[Multiplier]]*Table10e80[[#This Row],[Lit Area (SF)]])=0,"",(Table10e80[[#This Row],[Multiplier]]*Table10e80[[#This Row],[Lit Area (SF)]]))</f>
        <v/>
      </c>
      <c r="AM47" s="1237" t="str">
        <f>IFERROR((Table10e80[[#This Row],[ASHRAE LPD (W/SF)]]*Table10e80[[#This Row],[Lit Area (SF)]]*Table10e80[[#This Row],[Multiplier]]),"")</f>
        <v/>
      </c>
      <c r="AN47" s="1238" t="str">
        <f>IFERROR((Table10e80[[#This Row],[Watts/SF]]*Table10e80[[#This Row],[Lit Area (SF)]]*Table10e80[[#This Row],[Multiplier]]),"")</f>
        <v/>
      </c>
      <c r="AO47" s="1239" t="str">
        <f>IF(Table10e80[[#This Row],[Installed Watts]]="","",
IF(Table10e80[[#This Row],[Installed Watts]]&lt;=Table10e80[[#This Row],[ASHRAE W]],"PASS","FAIL"))</f>
        <v/>
      </c>
      <c r="AP47" s="1189" t="str">
        <f>IF(Table10e80[[#This Row],[ASHRAE LPD (W/SF)]]="","",0.7*Table10e80[[#This Row],[ASHRAE LPD (W/SF)]])</f>
        <v/>
      </c>
      <c r="AQ47" s="1189" t="e">
        <f>IF(Table10e80[[#This Row],[Watts/SF]]&lt;(0.7*Table10e80[[#This Row],[ASHRAE LPD (W/SF)]]),"FAIL","PASS")</f>
        <v>#VALUE!</v>
      </c>
      <c r="AR47" s="709"/>
      <c r="AS47" s="709"/>
      <c r="AT47" s="709"/>
      <c r="AU47" s="709"/>
    </row>
    <row r="48" spans="1:47" s="614" customFormat="1" ht="15" customHeight="1" x14ac:dyDescent="0.3">
      <c r="B48" s="1182"/>
      <c r="C48" s="1142"/>
      <c r="D48" s="1240"/>
      <c r="E48" s="1241"/>
      <c r="F48" s="1183"/>
      <c r="G48"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48" s="1243" t="str">
        <f>IF(AND($E$43="Building Area Method",Table10e80[[#This Row],[ASHRAE Space Type]]&lt;&gt;""),0.7,
IFERROR(VLOOKUP(Table10e80[[#This Row],[ASHRAE Space Type]],[2]!TableRaterFF68[#Data],2,FALSE),
""))</f>
        <v/>
      </c>
      <c r="I48" s="1182"/>
      <c r="J48" s="1142"/>
      <c r="K48" s="1142"/>
      <c r="L48" s="1142"/>
      <c r="M48" s="1142"/>
      <c r="N48" s="1142"/>
      <c r="O48" s="1142"/>
      <c r="P48" s="1142"/>
      <c r="Q48" s="1142"/>
      <c r="R48" s="1142"/>
      <c r="S48" s="1142"/>
      <c r="T48" s="1142"/>
      <c r="U48" s="1142"/>
      <c r="V48" s="1142"/>
      <c r="W48" s="1142"/>
      <c r="X48" s="1142"/>
      <c r="Y48" s="1142"/>
      <c r="Z48" s="1142"/>
      <c r="AA48" s="1142"/>
      <c r="AB48" s="1142"/>
      <c r="AC48" s="1142"/>
      <c r="AD48" s="1142"/>
      <c r="AE48" s="1142"/>
      <c r="AF48" s="1142"/>
      <c r="AG48" s="1142"/>
      <c r="AH48" s="1187"/>
      <c r="AI48" s="1179"/>
      <c r="AJ48" s="1243">
        <f>SUM(Table10e80[[#This Row],[A]:[Z]])*Table10e80[[#This Row],[Multiplier]]</f>
        <v>0</v>
      </c>
      <c r="AK48"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48" s="1244" t="str">
        <f>IF((Table10e80[[#This Row],[Multiplier]]*Table10e80[[#This Row],[Lit Area (SF)]])=0,"",(Table10e80[[#This Row],[Multiplier]]*Table10e80[[#This Row],[Lit Area (SF)]]))</f>
        <v/>
      </c>
      <c r="AM48" s="1245" t="str">
        <f>IFERROR((Table10e80[[#This Row],[ASHRAE LPD (W/SF)]]*Table10e80[[#This Row],[Lit Area (SF)]]*Table10e80[[#This Row],[Multiplier]]),"")</f>
        <v/>
      </c>
      <c r="AN48" s="1246" t="str">
        <f>IFERROR((Table10e80[[#This Row],[Watts/SF]]*Table10e80[[#This Row],[Lit Area (SF)]]*Table10e80[[#This Row],[Multiplier]]),"")</f>
        <v/>
      </c>
      <c r="AO48" s="1245" t="str">
        <f>IF(Table10e80[[#This Row],[Installed Watts]]="","",
IF(Table10e80[[#This Row],[Installed Watts]]&lt;=Table10e80[[#This Row],[ASHRAE W]],"PASS","FAIL"))</f>
        <v/>
      </c>
      <c r="AP48" s="1189" t="str">
        <f>IF(Table10e80[[#This Row],[ASHRAE LPD (W/SF)]]="","",0.7*Table10e80[[#This Row],[ASHRAE LPD (W/SF)]])</f>
        <v/>
      </c>
      <c r="AQ48" s="1189" t="e">
        <f>IF(Table10e80[[#This Row],[Watts/SF]]&lt;(0.7*Table10e80[[#This Row],[ASHRAE LPD (W/SF)]]),"FAIL","PASS")</f>
        <v>#VALUE!</v>
      </c>
      <c r="AR48" s="709"/>
      <c r="AS48" s="709"/>
      <c r="AT48" s="709"/>
      <c r="AU48" s="709"/>
    </row>
    <row r="49" spans="2:47" s="614" customFormat="1" ht="14.4" x14ac:dyDescent="0.3">
      <c r="B49" s="1182"/>
      <c r="C49" s="1142"/>
      <c r="D49" s="1240"/>
      <c r="E49" s="1241"/>
      <c r="F49" s="1183"/>
      <c r="G49"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49" s="1243" t="str">
        <f>IF(AND($E$43="Building Area Method",Table10e80[[#This Row],[ASHRAE Space Type]]&lt;&gt;""),0.7,
IFERROR(VLOOKUP(Table10e80[[#This Row],[ASHRAE Space Type]],[2]!TableRaterFF68[#Data],2,FALSE),
""))</f>
        <v/>
      </c>
      <c r="I49" s="1182"/>
      <c r="J49" s="1142"/>
      <c r="K49" s="1142"/>
      <c r="L49" s="1142"/>
      <c r="M49" s="1142"/>
      <c r="N49" s="1142"/>
      <c r="O49" s="1142"/>
      <c r="P49" s="1142"/>
      <c r="Q49" s="1142"/>
      <c r="R49" s="1142"/>
      <c r="S49" s="1142"/>
      <c r="T49" s="1142"/>
      <c r="U49" s="1142"/>
      <c r="V49" s="1142"/>
      <c r="W49" s="1142"/>
      <c r="X49" s="1142"/>
      <c r="Y49" s="1142"/>
      <c r="Z49" s="1142"/>
      <c r="AA49" s="1142"/>
      <c r="AB49" s="1142"/>
      <c r="AC49" s="1142"/>
      <c r="AD49" s="1142"/>
      <c r="AE49" s="1142"/>
      <c r="AF49" s="1142"/>
      <c r="AG49" s="1142"/>
      <c r="AH49" s="1187"/>
      <c r="AI49" s="1179"/>
      <c r="AJ49" s="1243">
        <f>SUM(Table10e80[[#This Row],[A]:[Z]])*Table10e80[[#This Row],[Multiplier]]</f>
        <v>0</v>
      </c>
      <c r="AK49"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49" s="1244" t="str">
        <f>IF((Table10e80[[#This Row],[Multiplier]]*Table10e80[[#This Row],[Lit Area (SF)]])=0,"",(Table10e80[[#This Row],[Multiplier]]*Table10e80[[#This Row],[Lit Area (SF)]]))</f>
        <v/>
      </c>
      <c r="AM49" s="1245" t="str">
        <f>IFERROR((Table10e80[[#This Row],[ASHRAE LPD (W/SF)]]*Table10e80[[#This Row],[Lit Area (SF)]]*Table10e80[[#This Row],[Multiplier]]),"")</f>
        <v/>
      </c>
      <c r="AN49" s="1246" t="str">
        <f>IFERROR((Table10e80[[#This Row],[Watts/SF]]*Table10e80[[#This Row],[Lit Area (SF)]]*Table10e80[[#This Row],[Multiplier]]),"")</f>
        <v/>
      </c>
      <c r="AO49" s="1245" t="str">
        <f>IF(Table10e80[[#This Row],[Installed Watts]]="","",
IF(Table10e80[[#This Row],[Installed Watts]]&lt;=Table10e80[[#This Row],[ASHRAE W]],"PASS","FAIL"))</f>
        <v/>
      </c>
      <c r="AP49" s="1189" t="str">
        <f>IF(Table10e80[[#This Row],[ASHRAE LPD (W/SF)]]="","",0.7*Table10e80[[#This Row],[ASHRAE LPD (W/SF)]])</f>
        <v/>
      </c>
      <c r="AQ49" s="1189" t="e">
        <f>IF(Table10e80[[#This Row],[Watts/SF]]&lt;(0.7*Table10e80[[#This Row],[ASHRAE LPD (W/SF)]]),"FAIL","PASS")</f>
        <v>#VALUE!</v>
      </c>
      <c r="AR49" s="709"/>
      <c r="AS49" s="709"/>
      <c r="AT49" s="709"/>
      <c r="AU49" s="709"/>
    </row>
    <row r="50" spans="2:47" s="614" customFormat="1" ht="14.4" x14ac:dyDescent="0.3">
      <c r="B50" s="1182"/>
      <c r="C50" s="1142"/>
      <c r="D50" s="1240"/>
      <c r="E50" s="1241"/>
      <c r="F50" s="1183"/>
      <c r="G50"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50" s="1243" t="str">
        <f>IF(AND($E$43="Building Area Method",Table10e80[[#This Row],[ASHRAE Space Type]]&lt;&gt;""),0.7,
IFERROR(VLOOKUP(Table10e80[[#This Row],[ASHRAE Space Type]],[2]!TableRaterFF68[#Data],2,FALSE),
""))</f>
        <v/>
      </c>
      <c r="I50" s="1182"/>
      <c r="J50" s="1142"/>
      <c r="K50" s="1142"/>
      <c r="L50" s="1142"/>
      <c r="M50" s="1142"/>
      <c r="N50" s="1142"/>
      <c r="O50" s="1142"/>
      <c r="P50" s="1142"/>
      <c r="Q50" s="1142"/>
      <c r="R50" s="1142"/>
      <c r="S50" s="1142"/>
      <c r="T50" s="1142"/>
      <c r="U50" s="1142"/>
      <c r="V50" s="1142"/>
      <c r="W50" s="1142"/>
      <c r="X50" s="1142"/>
      <c r="Y50" s="1142"/>
      <c r="Z50" s="1142"/>
      <c r="AA50" s="1142"/>
      <c r="AB50" s="1142"/>
      <c r="AC50" s="1142"/>
      <c r="AD50" s="1142"/>
      <c r="AE50" s="1142"/>
      <c r="AF50" s="1142"/>
      <c r="AG50" s="1142"/>
      <c r="AH50" s="1187"/>
      <c r="AI50" s="1179"/>
      <c r="AJ50" s="1243">
        <f>SUM(Table10e80[[#This Row],[A]:[Z]])*Table10e80[[#This Row],[Multiplier]]</f>
        <v>0</v>
      </c>
      <c r="AK50"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50" s="1244" t="str">
        <f>IF((Table10e80[[#This Row],[Multiplier]]*Table10e80[[#This Row],[Lit Area (SF)]])=0,"",(Table10e80[[#This Row],[Multiplier]]*Table10e80[[#This Row],[Lit Area (SF)]]))</f>
        <v/>
      </c>
      <c r="AM50" s="1245" t="str">
        <f>IFERROR((Table10e80[[#This Row],[ASHRAE LPD (W/SF)]]*Table10e80[[#This Row],[Lit Area (SF)]]*Table10e80[[#This Row],[Multiplier]]),"")</f>
        <v/>
      </c>
      <c r="AN50" s="1246" t="str">
        <f>IFERROR((Table10e80[[#This Row],[Watts/SF]]*Table10e80[[#This Row],[Lit Area (SF)]]*Table10e80[[#This Row],[Multiplier]]),"")</f>
        <v/>
      </c>
      <c r="AO50" s="1245" t="str">
        <f>IF(Table10e80[[#This Row],[Installed Watts]]="","",
IF(Table10e80[[#This Row],[Installed Watts]]&lt;=Table10e80[[#This Row],[ASHRAE W]],"PASS","FAIL"))</f>
        <v/>
      </c>
      <c r="AP50" s="1189" t="str">
        <f>IF(Table10e80[[#This Row],[ASHRAE LPD (W/SF)]]="","",0.7*Table10e80[[#This Row],[ASHRAE LPD (W/SF)]])</f>
        <v/>
      </c>
      <c r="AQ50" s="1189" t="e">
        <f>IF(Table10e80[[#This Row],[Watts/SF]]&lt;(0.7*Table10e80[[#This Row],[ASHRAE LPD (W/SF)]]),"FAIL","PASS")</f>
        <v>#VALUE!</v>
      </c>
      <c r="AR50" s="709"/>
      <c r="AS50" s="709"/>
      <c r="AT50" s="709"/>
      <c r="AU50" s="709"/>
    </row>
    <row r="51" spans="2:47" s="614" customFormat="1" ht="14.4" x14ac:dyDescent="0.3">
      <c r="B51" s="1182"/>
      <c r="C51" s="1142"/>
      <c r="D51" s="1240"/>
      <c r="E51" s="1241"/>
      <c r="F51" s="1183"/>
      <c r="G51"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51" s="1243" t="str">
        <f>IF(AND($E$43="Building Area Method",Table10e80[[#This Row],[ASHRAE Space Type]]&lt;&gt;""),0.7,
IFERROR(VLOOKUP(Table10e80[[#This Row],[ASHRAE Space Type]],[2]!TableRaterFF68[#Data],2,FALSE),
""))</f>
        <v/>
      </c>
      <c r="I51" s="1182"/>
      <c r="J51" s="1142"/>
      <c r="K51" s="1142"/>
      <c r="L51" s="1142"/>
      <c r="M51" s="1142"/>
      <c r="N51" s="1142"/>
      <c r="O51" s="1142"/>
      <c r="P51" s="1142"/>
      <c r="Q51" s="1142"/>
      <c r="R51" s="1142"/>
      <c r="S51" s="1142"/>
      <c r="T51" s="1142"/>
      <c r="U51" s="1142"/>
      <c r="V51" s="1142"/>
      <c r="W51" s="1142"/>
      <c r="X51" s="1142"/>
      <c r="Y51" s="1142"/>
      <c r="Z51" s="1142"/>
      <c r="AA51" s="1142"/>
      <c r="AB51" s="1142"/>
      <c r="AC51" s="1142"/>
      <c r="AD51" s="1142"/>
      <c r="AE51" s="1142"/>
      <c r="AF51" s="1142"/>
      <c r="AG51" s="1142"/>
      <c r="AH51" s="1187"/>
      <c r="AI51" s="1179"/>
      <c r="AJ51" s="1243">
        <f>SUM(Table10e80[[#This Row],[A]:[Z]])*Table10e80[[#This Row],[Multiplier]]</f>
        <v>0</v>
      </c>
      <c r="AK51"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51" s="1244" t="str">
        <f>IF((Table10e80[[#This Row],[Multiplier]]*Table10e80[[#This Row],[Lit Area (SF)]])=0,"",(Table10e80[[#This Row],[Multiplier]]*Table10e80[[#This Row],[Lit Area (SF)]]))</f>
        <v/>
      </c>
      <c r="AM51" s="1245" t="str">
        <f>IFERROR((Table10e80[[#This Row],[ASHRAE LPD (W/SF)]]*Table10e80[[#This Row],[Lit Area (SF)]]*Table10e80[[#This Row],[Multiplier]]),"")</f>
        <v/>
      </c>
      <c r="AN51" s="1246" t="str">
        <f>IFERROR((Table10e80[[#This Row],[Watts/SF]]*Table10e80[[#This Row],[Lit Area (SF)]]*Table10e80[[#This Row],[Multiplier]]),"")</f>
        <v/>
      </c>
      <c r="AO51" s="1245" t="str">
        <f>IF(Table10e80[[#This Row],[Installed Watts]]="","",
IF(Table10e80[[#This Row],[Installed Watts]]&lt;=Table10e80[[#This Row],[ASHRAE W]],"PASS","FAIL"))</f>
        <v/>
      </c>
      <c r="AP51" s="1189" t="str">
        <f>IF(Table10e80[[#This Row],[ASHRAE LPD (W/SF)]]="","",0.7*Table10e80[[#This Row],[ASHRAE LPD (W/SF)]])</f>
        <v/>
      </c>
      <c r="AQ51" s="1189" t="e">
        <f>IF(Table10e80[[#This Row],[Watts/SF]]&lt;(0.7*Table10e80[[#This Row],[ASHRAE LPD (W/SF)]]),"FAIL","PASS")</f>
        <v>#VALUE!</v>
      </c>
      <c r="AR51" s="709"/>
      <c r="AS51" s="709"/>
      <c r="AT51" s="709"/>
      <c r="AU51" s="709"/>
    </row>
    <row r="52" spans="2:47" s="614" customFormat="1" ht="24.9" customHeight="1" x14ac:dyDescent="0.3">
      <c r="B52" s="1182"/>
      <c r="C52" s="1142"/>
      <c r="D52" s="1240"/>
      <c r="E52" s="1241"/>
      <c r="F52" s="1183"/>
      <c r="G52"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52" s="1243" t="str">
        <f>IF(AND($E$43="Building Area Method",Table10e80[[#This Row],[ASHRAE Space Type]]&lt;&gt;""),0.7,
IFERROR(VLOOKUP(Table10e80[[#This Row],[ASHRAE Space Type]],[2]!TableRaterFF68[#Data],2,FALSE),
""))</f>
        <v/>
      </c>
      <c r="I52" s="1182"/>
      <c r="J52" s="1142"/>
      <c r="K52" s="1142"/>
      <c r="L52" s="1142"/>
      <c r="M52" s="1142"/>
      <c r="N52" s="1142"/>
      <c r="O52" s="1142"/>
      <c r="P52" s="1142"/>
      <c r="Q52" s="1142"/>
      <c r="R52" s="1142"/>
      <c r="S52" s="1142"/>
      <c r="T52" s="1142"/>
      <c r="U52" s="1142"/>
      <c r="V52" s="1142"/>
      <c r="W52" s="1142"/>
      <c r="X52" s="1142"/>
      <c r="Y52" s="1142"/>
      <c r="Z52" s="1142"/>
      <c r="AA52" s="1142"/>
      <c r="AB52" s="1142"/>
      <c r="AC52" s="1142"/>
      <c r="AD52" s="1142"/>
      <c r="AE52" s="1142"/>
      <c r="AF52" s="1142"/>
      <c r="AG52" s="1142"/>
      <c r="AH52" s="1187"/>
      <c r="AI52" s="1179"/>
      <c r="AJ52" s="1243">
        <f>SUM(Table10e80[[#This Row],[A]:[Z]])*Table10e80[[#This Row],[Multiplier]]</f>
        <v>0</v>
      </c>
      <c r="AK52"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52" s="1244" t="str">
        <f>IF((Table10e80[[#This Row],[Multiplier]]*Table10e80[[#This Row],[Lit Area (SF)]])=0,"",(Table10e80[[#This Row],[Multiplier]]*Table10e80[[#This Row],[Lit Area (SF)]]))</f>
        <v/>
      </c>
      <c r="AM52" s="1245" t="str">
        <f>IFERROR((Table10e80[[#This Row],[ASHRAE LPD (W/SF)]]*Table10e80[[#This Row],[Lit Area (SF)]]*Table10e80[[#This Row],[Multiplier]]),"")</f>
        <v/>
      </c>
      <c r="AN52" s="1246" t="str">
        <f>IFERROR((Table10e80[[#This Row],[Watts/SF]]*Table10e80[[#This Row],[Lit Area (SF)]]*Table10e80[[#This Row],[Multiplier]]),"")</f>
        <v/>
      </c>
      <c r="AO52" s="1245" t="str">
        <f>IF(Table10e80[[#This Row],[Installed Watts]]="","",
IF(Table10e80[[#This Row],[Installed Watts]]&lt;=Table10e80[[#This Row],[ASHRAE W]],"PASS","FAIL"))</f>
        <v/>
      </c>
      <c r="AP52" s="1189" t="str">
        <f>IF(Table10e80[[#This Row],[ASHRAE LPD (W/SF)]]="","",0.7*Table10e80[[#This Row],[ASHRAE LPD (W/SF)]])</f>
        <v/>
      </c>
      <c r="AQ52" s="1189" t="e">
        <f>IF(Table10e80[[#This Row],[Watts/SF]]&lt;(0.7*Table10e80[[#This Row],[ASHRAE LPD (W/SF)]]),"FAIL","PASS")</f>
        <v>#VALUE!</v>
      </c>
      <c r="AR52" s="709"/>
      <c r="AS52" s="709"/>
      <c r="AT52" s="709"/>
      <c r="AU52" s="709"/>
    </row>
    <row r="53" spans="2:47" s="614" customFormat="1" ht="14.4" x14ac:dyDescent="0.3">
      <c r="B53" s="1182"/>
      <c r="C53" s="1142"/>
      <c r="D53" s="1240"/>
      <c r="E53" s="1241"/>
      <c r="F53" s="1183"/>
      <c r="G53" s="1242"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53" s="1243" t="str">
        <f>IF(AND($E$43="Building Area Method",Table10e80[[#This Row],[ASHRAE Space Type]]&lt;&gt;""),0.7,
IFERROR(VLOOKUP(Table10e80[[#This Row],[ASHRAE Space Type]],[2]!TableRaterFF68[#Data],2,FALSE),
""))</f>
        <v/>
      </c>
      <c r="I53" s="1182"/>
      <c r="J53" s="1142"/>
      <c r="K53" s="1142"/>
      <c r="L53" s="1142"/>
      <c r="M53" s="1142"/>
      <c r="N53" s="1142"/>
      <c r="O53" s="1142"/>
      <c r="P53" s="1142"/>
      <c r="Q53" s="1142"/>
      <c r="R53" s="1142"/>
      <c r="S53" s="1142"/>
      <c r="T53" s="1142"/>
      <c r="U53" s="1142"/>
      <c r="V53" s="1142"/>
      <c r="W53" s="1142"/>
      <c r="X53" s="1142"/>
      <c r="Y53" s="1142"/>
      <c r="Z53" s="1142"/>
      <c r="AA53" s="1142"/>
      <c r="AB53" s="1142"/>
      <c r="AC53" s="1142"/>
      <c r="AD53" s="1142"/>
      <c r="AE53" s="1142"/>
      <c r="AF53" s="1142"/>
      <c r="AG53" s="1142"/>
      <c r="AH53" s="1187"/>
      <c r="AI53" s="1179"/>
      <c r="AJ53" s="1243">
        <f>SUM(Table10e80[[#This Row],[A]:[Z]])*Table10e80[[#This Row],[Multiplier]]</f>
        <v>0</v>
      </c>
      <c r="AK53"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53" s="1244" t="str">
        <f>IF((Table10e80[[#This Row],[Multiplier]]*Table10e80[[#This Row],[Lit Area (SF)]])=0,"",(Table10e80[[#This Row],[Multiplier]]*Table10e80[[#This Row],[Lit Area (SF)]]))</f>
        <v/>
      </c>
      <c r="AM53" s="1245" t="str">
        <f>IFERROR((Table10e80[[#This Row],[ASHRAE LPD (W/SF)]]*Table10e80[[#This Row],[Lit Area (SF)]]*Table10e80[[#This Row],[Multiplier]]),"")</f>
        <v/>
      </c>
      <c r="AN53" s="1246" t="str">
        <f>IFERROR((Table10e80[[#This Row],[Watts/SF]]*Table10e80[[#This Row],[Lit Area (SF)]]*Table10e80[[#This Row],[Multiplier]]),"")</f>
        <v/>
      </c>
      <c r="AO53" s="1245" t="str">
        <f>IF(Table10e80[[#This Row],[Installed Watts]]="","",
IF(Table10e80[[#This Row],[Installed Watts]]&lt;=Table10e80[[#This Row],[ASHRAE W]],"PASS","FAIL"))</f>
        <v/>
      </c>
      <c r="AP53" s="1189" t="str">
        <f>IF(Table10e80[[#This Row],[ASHRAE LPD (W/SF)]]="","",0.7*Table10e80[[#This Row],[ASHRAE LPD (W/SF)]])</f>
        <v/>
      </c>
      <c r="AQ53" s="1189" t="e">
        <f>IF(Table10e80[[#This Row],[Watts/SF]]&lt;(0.7*Table10e80[[#This Row],[ASHRAE LPD (W/SF)]]),"FAIL","PASS")</f>
        <v>#VALUE!</v>
      </c>
      <c r="AR53" s="709"/>
      <c r="AS53" s="709"/>
      <c r="AT53" s="709"/>
      <c r="AU53" s="709"/>
    </row>
    <row r="54" spans="2:47" s="614" customFormat="1" ht="15" thickBot="1" x14ac:dyDescent="0.35">
      <c r="B54" s="1194"/>
      <c r="C54" s="1195"/>
      <c r="D54" s="1247"/>
      <c r="E54" s="1248"/>
      <c r="F54" s="1147"/>
      <c r="G54" s="1249" t="str">
        <f>IFERROR(SUM(Table10e80[[#This Row],[A]]*$I$39,Table10e80[[#This Row],[B]]*$J$39,Table10e80[[#This Row],[C]]*$K$39,Table10e80[[#This Row],[D]]*$L$39,Table10e80[[#This Row],[E]]*$M$39,Table10e80[[#This Row],[F]]*$N$39,Table10e80[[#This Row],[G]]*$O$39,Table10e80[[#This Row],[H]]*$P$39,Table10e80[[#This Row],[I]]*$Q$39,Table10e80[[#This Row],[J]]*$R$39,Table10e80[[#This Row],[K]]*$S$39,Table10e80[[#This Row],[L]]*$T$39,Table10e80[[#This Row],[M]]*$U$39,Table10e80[[#This Row],[N]]*$V$39,Table10e80[[#This Row],[O]]*$W$39,Table10e80[[#This Row],[P]]*$X$39,Table10e80[[#This Row],[Q]]*$Y$39,Table10e80[[#This Row],[R]]*$Z$39,Table10e80[[#This Row],[S]]*$AA$39,Table10e80[[#This Row],[T]]*$AB$39,Table10e80[[#This Row],[U]]*$AC$39,Table10e80[[#This Row],[V]]*$AD$39,Table10e80[[#This Row],[W]]*$AE$39,Table10e80[[#This Row],[X]]*$AF$39,Table10e80[[#This Row],[Y]]*$AG$39,Table10e80[[#This Row],[Z]]*$AH$39)/Table10e80[[#This Row],[Lit Area (SF)]],"")</f>
        <v/>
      </c>
      <c r="H54" s="1250" t="str">
        <f>IF(AND($E$43="Building Area Method",Table10e80[[#This Row],[ASHRAE Space Type]]&lt;&gt;""),0.7,
IFERROR(VLOOKUP(Table10e80[[#This Row],[ASHRAE Space Type]],[2]!TableRaterFF68[#Data],2,FALSE),
""))</f>
        <v/>
      </c>
      <c r="I54" s="1194"/>
      <c r="J54" s="1195"/>
      <c r="K54" s="1195"/>
      <c r="L54" s="1195"/>
      <c r="M54" s="1195"/>
      <c r="N54" s="1195"/>
      <c r="O54" s="1195"/>
      <c r="P54" s="1195"/>
      <c r="Q54" s="1195"/>
      <c r="R54" s="1195"/>
      <c r="S54" s="1195"/>
      <c r="T54" s="1195"/>
      <c r="U54" s="1195"/>
      <c r="V54" s="1195"/>
      <c r="W54" s="1195"/>
      <c r="X54" s="1195"/>
      <c r="Y54" s="1195"/>
      <c r="Z54" s="1195"/>
      <c r="AA54" s="1195"/>
      <c r="AB54" s="1195"/>
      <c r="AC54" s="1195"/>
      <c r="AD54" s="1195"/>
      <c r="AE54" s="1195"/>
      <c r="AF54" s="1195"/>
      <c r="AG54" s="1195"/>
      <c r="AH54" s="1196"/>
      <c r="AI54" s="1179"/>
      <c r="AJ54" s="1250">
        <f>SUM(Table10e80[[#This Row],[A]:[Z]])*Table10e80[[#This Row],[Multiplier]]</f>
        <v>0</v>
      </c>
      <c r="AK54" s="1235">
        <f>SUM(IF(OR($I$40="Tier I",$I$40="Tier II",$I$40="ES"),Table10e80[[#This Row],[A]]*Table10e80[[#This Row],[Multiplier]],0),
IF(OR($J$40="Tier I",$J$40="Tier II",$J$40="ES"),Table10e80[[#This Row],[B]]*Table10e80[[#This Row],[Multiplier]],0),
IF(OR($K$40="Tier I",$K$40="Tier II",$K$40="ES"),Table10e80[[#This Row],[C]]*Table10e80[[#This Row],[Multiplier]],0),
IF(OR($L$40="Tier I",$L$40="Tier II",$L$40="ES"),Table10e80[[#This Row],[D]]*Table10e80[[#This Row],[Multiplier]],0),
IF(OR($M$40="Tier I",$M$40="Tier II",$M$40="ES"),Table10e80[[#This Row],[E]]*Table10e80[[#This Row],[Multiplier]],0),
IF(OR($N$40="Tier I",$N$40="Tier II",$N$40="ES"),Table10e80[[#This Row],[F]]*Table10e80[[#This Row],[Multiplier]],0),
IF(OR($O$40="Tier I",$O$40="Tier II",$O$40="ES"),Table10e80[[#This Row],[G]]*Table10e80[[#This Row],[Multiplier]],0),
IF(OR($P$40="Tier I",$P$40="Tier II",$P$40="ES"),Table10e80[[#This Row],[H]]*Table10e80[[#This Row],[Multiplier]],0),
IF(OR($Q$40="Tier I",$Q$40="Tier II",$Q$40="ES"),Table10e80[[#This Row],[I]]*Table10e80[[#This Row],[Multiplier]],0),
IF(OR($R$40="Tier I",$R$40="Tier II",$R$40="ES"),Table10e80[[#This Row],[J]]*Table10e80[[#This Row],[Multiplier]],0),
IF(OR($S$40="Tier I",$S$40="Tier II",$S$40="ES"),Table10e80[[#This Row],[K]]*Table10e80[[#This Row],[Multiplier]],0),
IF(OR($T$40="Tier I",$T$40="Tier II",$T$40="ES"),Table10e80[[#This Row],[L]]*Table10e80[[#This Row],[Multiplier]],0),
IF(OR($U$40="Tier I",$U$40="Tier II",$U$40="ES"),Table10e80[[#This Row],[M]]*Table10e80[[#This Row],[Multiplier]],0),
IF(OR($V$40="Tier I",$V$40="Tier II",$V$40="ES"),Table10e80[[#This Row],[N]]*Table10e80[[#This Row],[Multiplier]],0),
IF(OR($W$40="Tier I",$W$40="Tier II",$W$40="ES"),Table10e80[[#This Row],[O]]*Table10e80[[#This Row],[Multiplier]],0),
IF(OR($X$40="Tier I",$X$40="Tier II",$X$40="ES"),Table10e80[[#This Row],[P]]*Table10e80[[#This Row],[Multiplier]],0),
IF(OR($Y$40="Tier I",$Y$40="Tier II",$Y$40="ES"),Table10e80[[#This Row],[Q]]*Table10e80[[#This Row],[Multiplier]],0),
IF(OR($Z$40="Tier I",$Z$40="Tier II",$Z$40="ES"),Table10e80[[#This Row],[R]]*Table10e80[[#This Row],[Multiplier]],0),
IF(OR($AA$40="Tier I",$AA$40="Tier II",$AA$40="ES"),Table10e80[[#This Row],[S]]*Table10e80[[#This Row],[Multiplier]],0),
IF(OR($AB$40="Tier I",$AB$40="Tier II",$AB$40="ES"),Table10e80[[#This Row],[T]]*Table10e80[[#This Row],[Multiplier]],0),
IF(OR($AC$40="Tier I",$AC$40="Tier II",$AC$40="ES"),Table10e80[[#This Row],[U]]*Table10e80[[#This Row],[Multiplier]],0),
IF(OR($AD$40="Tier I",$AD$40="Tier II",$AD$40="ES"),Table10e80[[#This Row],[V]]*Table10e80[[#This Row],[Multiplier]],0),
IF(OR($AE$40="Tier I",$AE$40="Tier II",$AE$40="ES"),Table10e80[[#This Row],[W]]*Table10e80[[#This Row],[Multiplier]],0),
IF(OR($AF$40="Tier I",$AF$40="Tier II",$AF$40="ES"),Table10e80[[#This Row],[X]]*Table10e80[[#This Row],[Multiplier]],0),
IF(OR($AG$40="Tier I",$AG$40="Tier II",$AG$40="ES"),Table10e80[[#This Row],[Y]]*Table10e80[[#This Row],[Multiplier]],0),
IF(OR($AH$40="Tier I",$AH$40="Tier II",$AH$40="ES"),Table10e80[[#This Row],[Z]]*Table10e80[[#This Row],[Multiplier]],0))</f>
        <v>0</v>
      </c>
      <c r="AL54" s="1251" t="str">
        <f>IF((Table10e80[[#This Row],[Multiplier]]*Table10e80[[#This Row],[Lit Area (SF)]])=0,"",(Table10e80[[#This Row],[Multiplier]]*Table10e80[[#This Row],[Lit Area (SF)]]))</f>
        <v/>
      </c>
      <c r="AM54" s="1252" t="str">
        <f>IFERROR((Table10e80[[#This Row],[ASHRAE LPD (W/SF)]]*Table10e80[[#This Row],[Lit Area (SF)]]*Table10e80[[#This Row],[Multiplier]]),"")</f>
        <v/>
      </c>
      <c r="AN54" s="657" t="str">
        <f>IFERROR((Table10e80[[#This Row],[Watts/SF]]*Table10e80[[#This Row],[Lit Area (SF)]]*Table10e80[[#This Row],[Multiplier]]),"")</f>
        <v/>
      </c>
      <c r="AO54" s="1253" t="str">
        <f>IF(Table10e80[[#This Row],[Installed Watts]]="","",
IF(Table10e80[[#This Row],[Installed Watts]]&lt;=Table10e80[[#This Row],[ASHRAE W]],"PASS","FAIL"))</f>
        <v/>
      </c>
      <c r="AP54" s="1189" t="str">
        <f>IF(Table10e80[[#This Row],[ASHRAE LPD (W/SF)]]="","",0.7*Table10e80[[#This Row],[ASHRAE LPD (W/SF)]])</f>
        <v/>
      </c>
      <c r="AQ54" s="1189" t="e">
        <f>IF(Table10e80[[#This Row],[Watts/SF]]&lt;(0.7*Table10e80[[#This Row],[ASHRAE LPD (W/SF)]]),"FAIL","PASS")</f>
        <v>#VALUE!</v>
      </c>
      <c r="AR54" s="709"/>
      <c r="AS54" s="709"/>
      <c r="AT54" s="709"/>
      <c r="AU54" s="709"/>
    </row>
    <row r="55" spans="2:47" s="614" customFormat="1" ht="13.8" thickBot="1" x14ac:dyDescent="0.35">
      <c r="B55" s="1885" t="s">
        <v>1372</v>
      </c>
      <c r="C55" s="1886"/>
      <c r="D55" s="1886"/>
      <c r="E55" s="1254" t="str">
        <f>IF(SUM(Table10e80[Lit Area (SF)])=0,"",SUMPRODUCT(Table10e80[Lit Area (SF)],Table10e80[Multiplier]))</f>
        <v/>
      </c>
      <c r="F55" s="1206"/>
      <c r="G55" s="1255"/>
      <c r="H55" s="1256" t="str">
        <f>IF(SUM(Table10e80[ASHRAE LPD (W/SF)])=0,"",SUM(Table10e80[ASHRAE LPD (W/SF)]))</f>
        <v/>
      </c>
      <c r="I55" s="1257">
        <f>SUMPRODUCT(I47:I$54,$B47:$B$54)</f>
        <v>0</v>
      </c>
      <c r="J55" s="1197">
        <f>SUMPRODUCT(J47:J$54,$B47:$B$54)</f>
        <v>0</v>
      </c>
      <c r="K55" s="1197">
        <f>SUMPRODUCT(K47:K$54,$B47:$B$54)</f>
        <v>0</v>
      </c>
      <c r="L55" s="1197">
        <f>SUMPRODUCT(L47:L$54,$B47:$B$54)</f>
        <v>0</v>
      </c>
      <c r="M55" s="1197">
        <f>SUMPRODUCT(M47:M$54,$B47:$B$54)</f>
        <v>0</v>
      </c>
      <c r="N55" s="1197">
        <f>SUMPRODUCT(N47:N$54,$B47:$B$54)</f>
        <v>0</v>
      </c>
      <c r="O55" s="1197">
        <f>SUMPRODUCT(O47:O$54,$B47:$B$54)</f>
        <v>0</v>
      </c>
      <c r="P55" s="1197">
        <f>SUMPRODUCT(P47:P$54,$B47:$B$54)</f>
        <v>0</v>
      </c>
      <c r="Q55" s="1197">
        <f>SUMPRODUCT(Q47:Q$54,$B47:$B$54)</f>
        <v>0</v>
      </c>
      <c r="R55" s="1197">
        <f>SUMPRODUCT(R47:R$54,$B47:$B$54)</f>
        <v>0</v>
      </c>
      <c r="S55" s="1197">
        <f>SUMPRODUCT(S47:S$54,$B47:$B$54)</f>
        <v>0</v>
      </c>
      <c r="T55" s="1197">
        <f>SUMPRODUCT(T47:T$54,$B47:$B$54)</f>
        <v>0</v>
      </c>
      <c r="U55" s="1197">
        <f>SUMPRODUCT(U47:U$54,$B47:$B$54)</f>
        <v>0</v>
      </c>
      <c r="V55" s="1197">
        <f>SUMPRODUCT(V47:V$54,$B47:$B$54)</f>
        <v>0</v>
      </c>
      <c r="W55" s="1197">
        <f>SUMPRODUCT(W47:W$54,$B47:$B$54)</f>
        <v>0</v>
      </c>
      <c r="X55" s="1197">
        <f>SUMPRODUCT(X47:X$54,$B47:$B$54)</f>
        <v>0</v>
      </c>
      <c r="Y55" s="1197">
        <f>SUMPRODUCT(Y47:Y$54,$B47:$B$54)</f>
        <v>0</v>
      </c>
      <c r="Z55" s="1197">
        <f>SUMPRODUCT(Z47:Z$54,$B47:$B$54)</f>
        <v>0</v>
      </c>
      <c r="AA55" s="1197">
        <f>SUMPRODUCT(AA47:AA$54,$B47:$B$54)</f>
        <v>0</v>
      </c>
      <c r="AB55" s="1197">
        <f>SUMPRODUCT(AB47:AB$54,$B47:$B$54)</f>
        <v>0</v>
      </c>
      <c r="AC55" s="1197">
        <f>SUMPRODUCT(AC47:AC$54,$B47:$B$54)</f>
        <v>0</v>
      </c>
      <c r="AD55" s="1197">
        <f>SUMPRODUCT(AD47:AD$54,$B47:$B$54)</f>
        <v>0</v>
      </c>
      <c r="AE55" s="1197">
        <f>SUMPRODUCT(AE47:AE$54,$B47:$B$54)</f>
        <v>0</v>
      </c>
      <c r="AF55" s="1197">
        <f>SUMPRODUCT(AF47:AF$54,$B47:$B$54)</f>
        <v>0</v>
      </c>
      <c r="AG55" s="1197">
        <f>SUMPRODUCT(AG47:AG$54,$B47:$B$54)</f>
        <v>0</v>
      </c>
      <c r="AH55" s="1258">
        <f>SUMPRODUCT(AH47:AH$54,$B47:$B$54)</f>
        <v>0</v>
      </c>
      <c r="AJ55" s="1259">
        <f>SUM(Table10e80[Total Fixtures])</f>
        <v>0</v>
      </c>
      <c r="AK55" s="1260">
        <f>SUM(Table10e80[Tier1/ES Fixtures])</f>
        <v>0</v>
      </c>
      <c r="AL55" s="1260">
        <f>SUM(Table10e80[Lit Area * Multiplier])</f>
        <v>0</v>
      </c>
      <c r="AM55" s="1260">
        <f>SUM(Table10e80[ASHRAE W])</f>
        <v>0</v>
      </c>
      <c r="AN55" s="1260">
        <f>SUM(Table10e80[Installed Watts])</f>
        <v>0</v>
      </c>
      <c r="AO55" s="1260">
        <f>SUM(Table10e80[PASS/FAIL])</f>
        <v>0</v>
      </c>
      <c r="AP55" s="600"/>
      <c r="AQ55" s="600"/>
    </row>
    <row r="56" spans="2:47" ht="13.8" thickBot="1" x14ac:dyDescent="0.3">
      <c r="B56" s="614"/>
      <c r="C56" s="614"/>
      <c r="D56" s="1042"/>
      <c r="E56" s="600"/>
      <c r="F56" s="614"/>
      <c r="G56" s="614"/>
      <c r="H56" s="614"/>
      <c r="I56" s="614"/>
      <c r="J56" s="614"/>
      <c r="K56" s="614"/>
      <c r="L56" s="600"/>
      <c r="M56" s="614"/>
      <c r="N56" s="614"/>
      <c r="V56" s="1106"/>
      <c r="W56" s="1261"/>
      <c r="X56" s="1261"/>
      <c r="Y56" s="1261"/>
      <c r="Z56" s="1261"/>
      <c r="AA56" s="1261"/>
      <c r="AB56" s="1261"/>
      <c r="AC56" s="1261"/>
      <c r="AD56" s="1261"/>
      <c r="AE56" s="604"/>
      <c r="AF56" s="604"/>
    </row>
    <row r="57" spans="2:47" ht="26.1" customHeight="1" thickBot="1" x14ac:dyDescent="0.3">
      <c r="B57" s="1822" t="str">
        <f>IF(COUNTIF(Table10e80[ASHRAE LPD P/F],"FAIL")&lt;&gt;0,"Installed Watts/SF in one or more spaces reflects savings of 30% or greater compared to ASHRAE. Please provide supporting calculations or footcandle measurements to demonstrate that the space is illuminated to the minimum levels required by IESNA.","")</f>
        <v/>
      </c>
      <c r="C57" s="1823"/>
      <c r="D57" s="1823"/>
      <c r="E57" s="1823"/>
      <c r="F57" s="1823"/>
      <c r="G57" s="1823"/>
      <c r="H57" s="1823"/>
      <c r="I57" s="1823"/>
      <c r="J57" s="1823"/>
      <c r="K57" s="1823"/>
      <c r="L57" s="1823"/>
      <c r="M57" s="1823"/>
      <c r="N57" s="1823"/>
      <c r="O57" s="1824"/>
      <c r="P57" s="1262"/>
      <c r="Q57" s="1262"/>
      <c r="R57" s="1262"/>
      <c r="S57" s="1262"/>
      <c r="V57" s="1106"/>
      <c r="W57" s="1261"/>
      <c r="X57" s="1261"/>
      <c r="Y57" s="1261"/>
      <c r="Z57" s="1261"/>
      <c r="AA57" s="1261"/>
      <c r="AB57" s="1261"/>
      <c r="AC57" s="1261"/>
      <c r="AD57" s="1261"/>
      <c r="AE57" s="604"/>
      <c r="AF57" s="604"/>
    </row>
    <row r="58" spans="2:47" ht="13.8" thickBot="1" x14ac:dyDescent="0.3">
      <c r="B58" s="614"/>
      <c r="C58" s="614"/>
      <c r="D58" s="614"/>
      <c r="E58" s="600"/>
      <c r="F58" s="614"/>
      <c r="G58" s="614"/>
      <c r="H58" s="614"/>
      <c r="I58" s="614"/>
      <c r="J58" s="614"/>
      <c r="K58" s="614"/>
      <c r="L58" s="600"/>
      <c r="M58" s="614"/>
      <c r="N58" s="614"/>
      <c r="P58" s="1106"/>
      <c r="Q58" s="1106"/>
      <c r="R58" s="1106"/>
      <c r="S58" s="1106"/>
      <c r="W58" s="604"/>
      <c r="X58" s="604"/>
      <c r="Y58" s="604"/>
      <c r="Z58" s="604"/>
      <c r="AA58" s="604"/>
      <c r="AB58" s="604"/>
      <c r="AC58" s="604"/>
      <c r="AD58" s="604"/>
      <c r="AE58" s="604"/>
      <c r="AF58" s="604"/>
    </row>
    <row r="59" spans="2:47" ht="32.25" customHeight="1" thickBot="1" x14ac:dyDescent="0.3">
      <c r="B59" s="1875" t="s">
        <v>1389</v>
      </c>
      <c r="C59" s="1876"/>
      <c r="D59" s="1876"/>
      <c r="E59" s="1876"/>
      <c r="F59" s="1876"/>
      <c r="G59" s="1876"/>
      <c r="H59" s="1876"/>
      <c r="I59" s="1876"/>
      <c r="J59" s="1876"/>
      <c r="K59" s="1876"/>
      <c r="L59" s="1876"/>
      <c r="M59" s="1876"/>
      <c r="N59" s="1876"/>
      <c r="O59" s="1877"/>
      <c r="P59" s="1208"/>
      <c r="Q59" s="1208"/>
      <c r="R59" s="1208"/>
      <c r="S59" s="1208"/>
      <c r="W59" s="604"/>
      <c r="X59" s="604"/>
      <c r="Y59" s="604"/>
      <c r="Z59" s="604"/>
      <c r="AA59" s="604"/>
      <c r="AB59" s="604"/>
      <c r="AC59" s="604"/>
      <c r="AD59" s="604"/>
      <c r="AE59" s="604"/>
      <c r="AF59" s="604"/>
    </row>
    <row r="60" spans="2:47" ht="13.8" thickBot="1" x14ac:dyDescent="0.3">
      <c r="B60" s="614"/>
      <c r="C60" s="614"/>
      <c r="D60" s="614"/>
      <c r="E60" s="614"/>
      <c r="F60" s="600"/>
      <c r="G60" s="709"/>
      <c r="H60" s="709"/>
      <c r="I60" s="709"/>
      <c r="J60" s="709"/>
      <c r="K60" s="601"/>
      <c r="L60" s="601"/>
      <c r="M60" s="601"/>
      <c r="N60" s="709"/>
      <c r="O60" s="600"/>
      <c r="P60" s="600"/>
      <c r="Q60" s="601"/>
      <c r="R60" s="1263"/>
      <c r="W60" s="604"/>
      <c r="X60" s="604"/>
      <c r="Y60" s="604"/>
      <c r="Z60" s="604"/>
      <c r="AA60" s="604"/>
      <c r="AB60" s="604"/>
      <c r="AC60" s="604"/>
      <c r="AD60" s="604"/>
      <c r="AE60" s="604"/>
      <c r="AF60" s="604"/>
    </row>
    <row r="61" spans="2:47" ht="16.350000000000001" customHeight="1" thickBot="1" x14ac:dyDescent="0.3">
      <c r="B61" s="1887" t="s">
        <v>1390</v>
      </c>
      <c r="C61" s="1888"/>
      <c r="D61" s="1264" t="str">
        <f>IF(Table10d122[Installed Watts]&lt;=Table10d122[ASHRAE W],"PASS",IF(Table10d122[Installed Watts]="","","FAIL"))</f>
        <v/>
      </c>
      <c r="E61" s="614"/>
      <c r="F61" s="600"/>
      <c r="G61" s="600"/>
      <c r="H61" s="1137" t="s">
        <v>1339</v>
      </c>
      <c r="I61" s="811" t="s">
        <v>33</v>
      </c>
      <c r="J61" s="1138" t="s">
        <v>34</v>
      </c>
      <c r="K61" s="1138" t="s">
        <v>35</v>
      </c>
      <c r="L61" s="1138" t="s">
        <v>36</v>
      </c>
      <c r="M61" s="1138" t="s">
        <v>84</v>
      </c>
      <c r="N61" s="1138" t="s">
        <v>85</v>
      </c>
      <c r="O61" s="1138" t="s">
        <v>86</v>
      </c>
      <c r="P61" s="1138" t="s">
        <v>1340</v>
      </c>
      <c r="Q61" s="1138" t="s">
        <v>1341</v>
      </c>
      <c r="R61" s="1138" t="s">
        <v>1342</v>
      </c>
      <c r="S61" s="1138" t="s">
        <v>1343</v>
      </c>
      <c r="T61" s="1138" t="s">
        <v>1344</v>
      </c>
      <c r="U61" s="1138" t="s">
        <v>1345</v>
      </c>
      <c r="V61" s="1138" t="s">
        <v>1346</v>
      </c>
      <c r="W61" s="1138" t="s">
        <v>1347</v>
      </c>
      <c r="X61" s="1138" t="s">
        <v>1348</v>
      </c>
      <c r="Y61" s="1138" t="s">
        <v>1349</v>
      </c>
      <c r="Z61" s="1138" t="s">
        <v>1350</v>
      </c>
      <c r="AA61" s="1138" t="s">
        <v>1351</v>
      </c>
      <c r="AB61" s="1138" t="s">
        <v>1352</v>
      </c>
      <c r="AC61" s="1138" t="s">
        <v>1353</v>
      </c>
      <c r="AD61" s="1138" t="s">
        <v>1354</v>
      </c>
      <c r="AE61" s="1138" t="s">
        <v>1355</v>
      </c>
      <c r="AF61" s="1138" t="s">
        <v>415</v>
      </c>
      <c r="AG61" s="1138" t="s">
        <v>1356</v>
      </c>
      <c r="AH61" s="1139" t="s">
        <v>1357</v>
      </c>
    </row>
    <row r="62" spans="2:47" ht="16.350000000000001" customHeight="1" x14ac:dyDescent="0.25">
      <c r="B62" s="877"/>
      <c r="C62" s="877"/>
      <c r="D62" s="1212"/>
      <c r="E62" s="614"/>
      <c r="F62" s="600"/>
      <c r="G62" s="600"/>
      <c r="H62" s="1141" t="s">
        <v>1359</v>
      </c>
      <c r="I62" s="816"/>
      <c r="J62" s="1142"/>
      <c r="K62" s="1142"/>
      <c r="L62" s="1142"/>
      <c r="M62" s="1142"/>
      <c r="N62" s="1142"/>
      <c r="O62" s="1142"/>
      <c r="P62" s="1142"/>
      <c r="Q62" s="1142"/>
      <c r="R62" s="1142"/>
      <c r="S62" s="1142"/>
      <c r="T62" s="1142"/>
      <c r="U62" s="1142"/>
      <c r="V62" s="1142"/>
      <c r="W62" s="1142"/>
      <c r="X62" s="1142"/>
      <c r="Y62" s="1142"/>
      <c r="Z62" s="1142"/>
      <c r="AA62" s="1142"/>
      <c r="AB62" s="1142"/>
      <c r="AC62" s="1142"/>
      <c r="AD62" s="1142"/>
      <c r="AE62" s="1142"/>
      <c r="AF62" s="1142"/>
      <c r="AG62" s="1142"/>
      <c r="AH62" s="1143"/>
    </row>
    <row r="63" spans="2:47" ht="16.350000000000001" customHeight="1" thickBot="1" x14ac:dyDescent="0.3">
      <c r="B63" s="877"/>
      <c r="C63" s="877"/>
      <c r="D63" s="1212"/>
      <c r="E63" s="614"/>
      <c r="F63" s="600"/>
      <c r="G63" s="600"/>
      <c r="H63" s="1145" t="s">
        <v>1361</v>
      </c>
      <c r="I63" s="1146"/>
      <c r="J63" s="1147"/>
      <c r="K63" s="1147"/>
      <c r="L63" s="1147"/>
      <c r="M63" s="1147"/>
      <c r="N63" s="1147"/>
      <c r="O63" s="1147"/>
      <c r="P63" s="1147"/>
      <c r="Q63" s="1147"/>
      <c r="R63" s="1147"/>
      <c r="S63" s="1147"/>
      <c r="T63" s="1147"/>
      <c r="U63" s="1147"/>
      <c r="V63" s="1147"/>
      <c r="W63" s="1147"/>
      <c r="X63" s="1147"/>
      <c r="Y63" s="1147"/>
      <c r="Z63" s="1147"/>
      <c r="AA63" s="1147"/>
      <c r="AB63" s="1147"/>
      <c r="AC63" s="1147"/>
      <c r="AD63" s="1147"/>
      <c r="AE63" s="1147"/>
      <c r="AF63" s="1147"/>
      <c r="AG63" s="1147"/>
      <c r="AH63" s="1148"/>
    </row>
    <row r="64" spans="2:47" ht="13.8" thickBot="1" x14ac:dyDescent="0.3">
      <c r="B64" s="614"/>
      <c r="C64" s="614"/>
      <c r="D64" s="614"/>
      <c r="E64" s="614"/>
      <c r="F64" s="600"/>
      <c r="G64" s="709"/>
      <c r="H64" s="709"/>
      <c r="I64" s="709"/>
      <c r="J64" s="709"/>
      <c r="K64" s="601"/>
      <c r="L64" s="601"/>
      <c r="M64" s="601"/>
      <c r="N64" s="709"/>
      <c r="O64" s="600"/>
      <c r="P64" s="600"/>
      <c r="Q64" s="601"/>
      <c r="R64" s="1263"/>
      <c r="S64" s="1263"/>
      <c r="W64" s="604"/>
      <c r="X64" s="604"/>
      <c r="Y64" s="604"/>
      <c r="Z64" s="604"/>
      <c r="AA64" s="604"/>
      <c r="AB64" s="604"/>
      <c r="AC64" s="604"/>
      <c r="AD64" s="604"/>
      <c r="AE64" s="604"/>
      <c r="AF64" s="604"/>
      <c r="AJ64" s="1214" t="s">
        <v>1247</v>
      </c>
      <c r="AK64" s="1214" t="s">
        <v>1247</v>
      </c>
      <c r="AL64" s="1214" t="s">
        <v>1247</v>
      </c>
      <c r="AM64" s="600" t="s">
        <v>1247</v>
      </c>
      <c r="AN64" s="600" t="s">
        <v>1247</v>
      </c>
      <c r="AO64" s="600" t="s">
        <v>1247</v>
      </c>
      <c r="AP64" s="600"/>
      <c r="AQ64" s="600"/>
      <c r="AR64" s="600"/>
      <c r="AS64" s="600"/>
    </row>
    <row r="65" spans="2:45" s="614" customFormat="1" ht="13.8" thickBot="1" x14ac:dyDescent="0.35">
      <c r="B65" s="1215" t="s">
        <v>1362</v>
      </c>
      <c r="C65" s="880" t="s">
        <v>1379</v>
      </c>
      <c r="D65" s="880" t="s">
        <v>1380</v>
      </c>
      <c r="E65" s="880" t="s">
        <v>1365</v>
      </c>
      <c r="F65" s="880" t="s">
        <v>1381</v>
      </c>
      <c r="G65" s="880" t="s">
        <v>1367</v>
      </c>
      <c r="H65" s="1216" t="s">
        <v>1391</v>
      </c>
      <c r="I65" s="1217" t="str">
        <f>Table10c20126[[#Headers],[A]]</f>
        <v>A</v>
      </c>
      <c r="J65" s="1218" t="str">
        <f>Table10c20126[[#Headers],[B]]</f>
        <v>B</v>
      </c>
      <c r="K65" s="1218" t="str">
        <f>Table10c20126[[#Headers],[C]]</f>
        <v>C</v>
      </c>
      <c r="L65" s="1218" t="str">
        <f>Table10c20126[[#Headers],[D]]</f>
        <v>D</v>
      </c>
      <c r="M65" s="1218" t="str">
        <f>Table10c20126[[#Headers],[E]]</f>
        <v>E</v>
      </c>
      <c r="N65" s="1218" t="str">
        <f>Table10c20126[[#Headers],[F]]</f>
        <v>F</v>
      </c>
      <c r="O65" s="1218" t="str">
        <f>Table10c20126[[#Headers],[G]]</f>
        <v>G</v>
      </c>
      <c r="P65" s="1218" t="str">
        <f>Table10c20126[[#Headers],[H]]</f>
        <v>H</v>
      </c>
      <c r="Q65" s="1218" t="str">
        <f>Table10c20126[[#Headers],[I]]</f>
        <v>I</v>
      </c>
      <c r="R65" s="1218" t="str">
        <f>Table10c20126[[#Headers],[J]]</f>
        <v>J</v>
      </c>
      <c r="S65" s="1218" t="str">
        <f>Table10c20126[[#Headers],[K]]</f>
        <v>K</v>
      </c>
      <c r="T65" s="1218" t="str">
        <f>Table10c20126[[#Headers],[L]]</f>
        <v>L</v>
      </c>
      <c r="U65" s="1218" t="str">
        <f>Table10c20126[[#Headers],[M]]</f>
        <v>M</v>
      </c>
      <c r="V65" s="1218" t="str">
        <f>Table10c20126[[#Headers],[N]]</f>
        <v>N</v>
      </c>
      <c r="W65" s="1218" t="str">
        <f>Table10c20126[[#Headers],[O]]</f>
        <v>O</v>
      </c>
      <c r="X65" s="1218" t="str">
        <f>Table10c20126[[#Headers],[P]]</f>
        <v>P</v>
      </c>
      <c r="Y65" s="1218" t="str">
        <f>Table10c20126[[#Headers],[Q]]</f>
        <v>Q</v>
      </c>
      <c r="Z65" s="1218" t="str">
        <f>Table10c20126[[#Headers],[R]]</f>
        <v>R</v>
      </c>
      <c r="AA65" s="1218" t="str">
        <f>Table10c20126[[#Headers],[S]]</f>
        <v>S</v>
      </c>
      <c r="AB65" s="1218" t="str">
        <f>Table10c20126[[#Headers],[T]]</f>
        <v>T</v>
      </c>
      <c r="AC65" s="1218" t="str">
        <f>Table10c20126[[#Headers],[U]]</f>
        <v>U</v>
      </c>
      <c r="AD65" s="1218" t="str">
        <f>Table10c20126[[#Headers],[V]]</f>
        <v>V</v>
      </c>
      <c r="AE65" s="1218" t="str">
        <f>Table10c20126[[#Headers],[W]]</f>
        <v>W</v>
      </c>
      <c r="AF65" s="1218" t="str">
        <f>Table10c20126[[#Headers],[X]]</f>
        <v>X</v>
      </c>
      <c r="AG65" s="1218" t="str">
        <f>Table10c20126[[#Headers],[Y]]</f>
        <v>Y</v>
      </c>
      <c r="AH65" s="1219" t="str">
        <f>Table10c20126[[#Headers],[Z]]</f>
        <v>Z</v>
      </c>
      <c r="AJ65" s="880" t="s">
        <v>1368</v>
      </c>
      <c r="AK65" s="880" t="s">
        <v>1383</v>
      </c>
      <c r="AL65" s="1265" t="s">
        <v>1385</v>
      </c>
      <c r="AM65" s="1265" t="s">
        <v>1386</v>
      </c>
      <c r="AN65" s="1265" t="s">
        <v>554</v>
      </c>
      <c r="AO65" s="1266" t="s">
        <v>1199</v>
      </c>
      <c r="AP65" s="877"/>
      <c r="AQ65" s="877"/>
      <c r="AR65" s="877"/>
      <c r="AS65" s="877"/>
    </row>
    <row r="66" spans="2:45" s="614" customFormat="1" ht="13.8" hidden="1" thickBot="1" x14ac:dyDescent="0.35">
      <c r="B66" s="1165" t="s">
        <v>1362</v>
      </c>
      <c r="C66" s="1166" t="s">
        <v>1379</v>
      </c>
      <c r="D66" s="1166" t="s">
        <v>1380</v>
      </c>
      <c r="E66" s="1166" t="s">
        <v>1365</v>
      </c>
      <c r="F66" s="1166" t="s">
        <v>1381</v>
      </c>
      <c r="G66" s="1166" t="s">
        <v>1367</v>
      </c>
      <c r="H66" s="1222" t="s">
        <v>1391</v>
      </c>
      <c r="I66" s="1223" t="s">
        <v>33</v>
      </c>
      <c r="J66" s="1224" t="s">
        <v>34</v>
      </c>
      <c r="K66" s="1224" t="s">
        <v>35</v>
      </c>
      <c r="L66" s="1224" t="s">
        <v>36</v>
      </c>
      <c r="M66" s="1224" t="s">
        <v>84</v>
      </c>
      <c r="N66" s="1225" t="s">
        <v>85</v>
      </c>
      <c r="O66" s="1225" t="s">
        <v>86</v>
      </c>
      <c r="P66" s="1225" t="s">
        <v>1340</v>
      </c>
      <c r="Q66" s="1225" t="s">
        <v>1341</v>
      </c>
      <c r="R66" s="1225" t="s">
        <v>1342</v>
      </c>
      <c r="S66" s="1225" t="s">
        <v>1343</v>
      </c>
      <c r="T66" s="1225" t="s">
        <v>1344</v>
      </c>
      <c r="U66" s="1225" t="s">
        <v>1345</v>
      </c>
      <c r="V66" s="1225" t="s">
        <v>1346</v>
      </c>
      <c r="W66" s="1225" t="s">
        <v>1347</v>
      </c>
      <c r="X66" s="1225" t="s">
        <v>1348</v>
      </c>
      <c r="Y66" s="1225" t="s">
        <v>1349</v>
      </c>
      <c r="Z66" s="1225" t="s">
        <v>1350</v>
      </c>
      <c r="AA66" s="1225" t="s">
        <v>1351</v>
      </c>
      <c r="AB66" s="1225" t="s">
        <v>1352</v>
      </c>
      <c r="AC66" s="1225" t="s">
        <v>1353</v>
      </c>
      <c r="AD66" s="1225" t="s">
        <v>1354</v>
      </c>
      <c r="AE66" s="1225" t="s">
        <v>1355</v>
      </c>
      <c r="AF66" s="1225" t="s">
        <v>415</v>
      </c>
      <c r="AG66" s="1225" t="s">
        <v>1356</v>
      </c>
      <c r="AH66" s="1226" t="s">
        <v>1357</v>
      </c>
      <c r="AI66" s="1267" t="s">
        <v>1120</v>
      </c>
      <c r="AJ66" s="1166" t="s">
        <v>1368</v>
      </c>
      <c r="AK66" s="1166" t="s">
        <v>1383</v>
      </c>
      <c r="AL66" s="1268" t="s">
        <v>1385</v>
      </c>
      <c r="AM66" s="1268" t="s">
        <v>1386</v>
      </c>
      <c r="AN66" s="1268" t="s">
        <v>554</v>
      </c>
      <c r="AO66" s="1269" t="s">
        <v>1199</v>
      </c>
      <c r="AP66" s="709"/>
      <c r="AQ66" s="709"/>
      <c r="AR66" s="709"/>
      <c r="AS66" s="709"/>
    </row>
    <row r="67" spans="2:45" s="614" customFormat="1" ht="13.8" thickBot="1" x14ac:dyDescent="0.35">
      <c r="B67" s="1270"/>
      <c r="C67" s="1271" t="s">
        <v>1392</v>
      </c>
      <c r="D67" s="1271" t="s">
        <v>1392</v>
      </c>
      <c r="E67" s="1272"/>
      <c r="F67" s="711"/>
      <c r="G67" s="1273" t="str">
        <f>IFERROR(SUMPRODUCT($I$62:$AH$62,Table10d122[[#This Row],[A]:[Z]])/Table10d122[[#This Row],[Lit Area (SF)]],"")</f>
        <v/>
      </c>
      <c r="H67" s="1274">
        <v>0.24</v>
      </c>
      <c r="I67" s="1193"/>
      <c r="J67" s="1275"/>
      <c r="K67" s="1275"/>
      <c r="L67" s="1276"/>
      <c r="M67" s="1275"/>
      <c r="N67" s="1275"/>
      <c r="O67" s="1276"/>
      <c r="P67" s="1275"/>
      <c r="Q67" s="1275"/>
      <c r="R67" s="1276"/>
      <c r="S67" s="1275"/>
      <c r="T67" s="1275"/>
      <c r="U67" s="1276"/>
      <c r="V67" s="1275"/>
      <c r="W67" s="1275"/>
      <c r="X67" s="1276"/>
      <c r="Y67" s="1275"/>
      <c r="Z67" s="1275"/>
      <c r="AA67" s="1276"/>
      <c r="AB67" s="1275"/>
      <c r="AC67" s="1275"/>
      <c r="AD67" s="1276"/>
      <c r="AE67" s="1275"/>
      <c r="AF67" s="1275"/>
      <c r="AG67" s="1276"/>
      <c r="AH67" s="1277"/>
      <c r="AI67" s="1179"/>
      <c r="AJ67" s="1271">
        <f>SUM(Table10d122[[#This Row],[A]:[Z]])*Table10d122[[#This Row],[Multiplier]]</f>
        <v>0</v>
      </c>
      <c r="AK67" s="1278">
        <f>SUM(IF(OR($I$63="Tier I",$I$63="Tier II",$I$63="ES"),Table10d122[[#This Row],[A]]*Table10d122[[#This Row],[Multiplier]],0),
IF(OR($J$63="Tier I",$J$63="Tier II",$J$63="ES"),Table10d122[[#This Row],[B]]*Table10d122[[#This Row],[Multiplier]],0),
IF(OR($K$63="Tier I",$K$63="Tier II",$K$63="ES"),Table10d122[[#This Row],[C]]*Table10d122[[#This Row],[Multiplier]],0),
IF(OR($L$63="Tier I",$L$63="Tier II",$L$63="ES"),Table10d122[[#This Row],[D]]*Table10d122[[#This Row],[Multiplier]],0),
IF(OR($M$63="Tier I",$M$63="Tier II",$M$63="ES"),Table10d122[[#This Row],[E]]*Table10d122[[#This Row],[Multiplier]],0),
IF(OR($N$63="Tier I",$N$63="Tier II",$N$63="ES"),Table10d122[[#This Row],[F]]*Table10d122[[#This Row],[Multiplier]],0),
IF(OR($O$63="Tier I",$O$63="Tier II",$O$63="ES"),Table10d122[[#This Row],[G]]*Table10d122[[#This Row],[Multiplier]],0),
IF(OR($P$63="Tier I",$P$63="Tier II",$P$63="ES"),Table10d122[[#This Row],[H]]*Table10d122[[#This Row],[Multiplier]],0),
IF(OR($Q$63="Tier I",$Q$63="Tier II",$Q$63="ES"),Table10d122[[#This Row],[I]]*Table10d122[[#This Row],[Multiplier]],0),
IF(OR($R$63="Tier I",$R$63="Tier II",$R$63="ES"),Table10d122[[#This Row],[J]]*Table10d122[[#This Row],[Multiplier]],0),
IF(OR($S$63="Tier I",$S$63="Tier II",$S$63="ES"),Table10d122[[#This Row],[K]]*Table10d122[[#This Row],[Multiplier]],0),
IF(OR($T$63="Tier I",$T$63="Tier II",$T$63="ES"),Table10d122[[#This Row],[L]]*Table10d122[[#This Row],[Multiplier]],0),
IF(OR($U$63="Tier I",$U$63="Tier II",$U$63="ES"),Table10d122[[#This Row],[M]]*Table10d122[[#This Row],[Multiplier]],0),
IF(OR($V$63="Tier I",$V$63="Tier II",$V$63="ES"),Table10d122[[#This Row],[N]]*Table10d122[[#This Row],[Multiplier]],0),
IF(OR($W$63="Tier I",$W$63="Tier II",$W$63="ES"),Table10d122[[#This Row],[O]]*Table10d122[[#This Row],[Multiplier]],0),
IF(OR($X$63="Tier I",$X$63="Tier II",$X$63="ES"),Table10d122[[#This Row],[P]]*Table10d122[[#This Row],[Multiplier]],0),
IF(OR($Y$63="Tier I",$Y$63="Tier II",$Y$63="ES"),Table10d122[[#This Row],[Q]]*Table10d122[[#This Row],[Multiplier]],0),
IF(OR($Z$63="Tier I",$Z$63="Tier II",$Z$63="ES"),Table10d122[[#This Row],[R]]*Table10d122[[#This Row],[Multiplier]],0),
IF(OR($AA$63="Tier I",$AA$63="Tier II",$AA$63="ES"),Table10d122[[#This Row],[S]]*Table10d122[[#This Row],[Multiplier]],0),
IF(OR($AB$63="Tier I",$AB$63="Tier II",$AB$63="ES"),Table10d122[[#This Row],[T]]*Table10d122[[#This Row],[Multiplier]],0),
IF(OR($AC$63="Tier I",$AC$63="Tier II",$AC$63="ES"),Table10d122[[#This Row],[U]]*Table10d122[[#This Row],[Multiplier]],0),
IF(OR($AD$63="Tier I",$AD$63="Tier II",$AD$63="ES"),Table10d122[[#This Row],[V]]*Table10d122[[#This Row],[Multiplier]],0),
IF(OR($AE$63="Tier I",$AE$63="Tier II",$AE$63="ES"),Table10d122[[#This Row],[W]]*Table10d122[[#This Row],[Multiplier]],0),
IF(OR($AF$63="Tier I",$AF$63="Tier II",$AF$63="ES"),Table10d122[[#This Row],[X]]*Table10d122[[#This Row],[Multiplier]],0),
IF(OR($AG$63="Tier I",$AG$63="Tier II",$AG$63="ES"),Table10d122[[#This Row],[Y]]*Table10d122[[#This Row],[Multiplier]],0),
IF(OR($AH$63="Tier I",$AH$63="Tier II",$AH$63="ES"),Table10d122[[#This Row],[Z]]*Table10d122[[#This Row],[Multiplier]],0))</f>
        <v>0</v>
      </c>
      <c r="AL67" s="1279">
        <f>IFERROR(Table10d122[[#This Row],[MFNC LPD (W/SF)]]*Table10d122[[#This Row],[Lit Area (SF)]]*Table10d122[[#This Row],[Multiplier]],"")</f>
        <v>0</v>
      </c>
      <c r="AM67" s="1279" t="str">
        <f>IFERROR(Table10d122[[#This Row],[Watts/SF]]*Table10d122[[#This Row],[Lit Area (SF)]]*Table10d122[[#This Row],[Multiplier]],"")</f>
        <v/>
      </c>
      <c r="AN67" s="1279" t="str">
        <f>IF(Table10d122[[#This Row],[ASHRAE W]]&lt;=Table10d122[[#This Row],[MFNC LPD (W/SF)]],"PASS",IF(Table10d122[[#This Row],[ASHRAE W]]="","","FAIL"))</f>
        <v>PASS</v>
      </c>
      <c r="AO67" s="1189" t="str">
        <f>IF(Table10d122[[#This Row],[Installed Watts]]&lt;=Table10d122[[#This Row],[ASHRAE W]],"PASS",IF(Table10d122[[#This Row],[Installed Watts]]="","","FAIL"))</f>
        <v/>
      </c>
      <c r="AP67" s="709"/>
      <c r="AQ67" s="709"/>
      <c r="AR67" s="709"/>
      <c r="AS67" s="709"/>
    </row>
    <row r="68" spans="2:45" x14ac:dyDescent="0.25">
      <c r="B68" s="734"/>
      <c r="C68" s="709"/>
      <c r="D68" s="709"/>
      <c r="E68" s="1280"/>
      <c r="F68" s="734"/>
      <c r="G68" s="734"/>
      <c r="H68" s="734"/>
      <c r="I68" s="734"/>
      <c r="J68" s="734"/>
      <c r="K68" s="734"/>
      <c r="L68" s="709"/>
      <c r="M68" s="804"/>
      <c r="N68" s="1281" t="str">
        <f>IFERROR((((Table10d122[[#This Row],[Watts/SF]]*$I$39)+(Table10d122[[#This Row],[MFNC LPD (W/SF)]]*$J$39)+(Table10d122[[#This Row],[A]]*$K$39)+(Table10d122[[#This Row],[B]]*$L$39)+(Table10d122[[#This Row],[C]]*$M$39))/Table10d122[Lit Area (SF)]),"")</f>
        <v/>
      </c>
      <c r="O68" s="709"/>
      <c r="P68" s="709" t="str">
        <f>IFERROR(Table10d122[[#This Row],[G]]*Table10d122[[#This Row],[Lit Area (SF)]]*Table10d122[[#This Row],[Multiplier]],"")</f>
        <v/>
      </c>
      <c r="Q68" s="709" t="str">
        <f>IFERROR(Table10d122[[#This Row],[F]]*Table10d122[[#This Row],[Lit Area (SF)]]*Table10d122[[#This Row],[Multiplier]],"")</f>
        <v/>
      </c>
      <c r="R68" s="709"/>
      <c r="S68" s="709"/>
      <c r="W68" s="604"/>
      <c r="X68" s="604"/>
      <c r="Y68" s="604"/>
      <c r="Z68" s="604"/>
      <c r="AA68" s="604"/>
      <c r="AB68" s="604"/>
      <c r="AC68" s="604"/>
      <c r="AD68" s="604"/>
      <c r="AE68" s="604"/>
      <c r="AF68" s="604"/>
    </row>
    <row r="69" spans="2:45" ht="13.8" thickBot="1" x14ac:dyDescent="0.3">
      <c r="B69" s="614"/>
      <c r="C69" s="614"/>
      <c r="D69" s="614"/>
      <c r="E69" s="614"/>
      <c r="F69" s="614"/>
      <c r="G69" s="614"/>
      <c r="H69" s="614"/>
      <c r="I69" s="614"/>
      <c r="J69" s="614"/>
      <c r="K69" s="614"/>
      <c r="L69" s="614"/>
      <c r="M69" s="614"/>
      <c r="N69" s="614"/>
      <c r="W69" s="604"/>
      <c r="X69" s="604"/>
      <c r="Y69" s="604"/>
      <c r="Z69" s="604"/>
      <c r="AA69" s="604"/>
      <c r="AB69" s="604"/>
      <c r="AC69" s="604"/>
      <c r="AD69" s="604"/>
      <c r="AE69" s="604"/>
      <c r="AF69" s="604"/>
    </row>
    <row r="70" spans="2:45" ht="32.25" customHeight="1" thickBot="1" x14ac:dyDescent="0.3">
      <c r="B70" s="1875" t="s">
        <v>1393</v>
      </c>
      <c r="C70" s="1876"/>
      <c r="D70" s="1876"/>
      <c r="E70" s="1876"/>
      <c r="F70" s="1876"/>
      <c r="G70" s="1876"/>
      <c r="H70" s="1876"/>
      <c r="I70" s="1876"/>
      <c r="J70" s="1876"/>
      <c r="K70" s="1876"/>
      <c r="L70" s="1876"/>
      <c r="M70" s="1876"/>
      <c r="N70" s="1876"/>
      <c r="O70" s="1877"/>
      <c r="P70" s="1208"/>
      <c r="Q70" s="1208"/>
      <c r="R70" s="1208"/>
      <c r="S70" s="1208"/>
      <c r="T70" s="1106"/>
      <c r="W70" s="604"/>
      <c r="X70" s="604"/>
      <c r="Y70" s="604"/>
      <c r="Z70" s="604"/>
      <c r="AA70" s="604"/>
      <c r="AB70" s="604"/>
      <c r="AC70" s="604"/>
      <c r="AD70" s="604"/>
      <c r="AE70" s="604"/>
      <c r="AF70" s="604"/>
    </row>
    <row r="71" spans="2:45" ht="13.8" thickBot="1" x14ac:dyDescent="0.3">
      <c r="W71" s="604"/>
      <c r="X71" s="604"/>
      <c r="Y71" s="604"/>
      <c r="Z71" s="604"/>
      <c r="AA71" s="604"/>
      <c r="AB71" s="604"/>
      <c r="AC71" s="604"/>
      <c r="AD71" s="604"/>
      <c r="AE71" s="604"/>
      <c r="AF71" s="604"/>
    </row>
    <row r="72" spans="2:45" s="614" customFormat="1" ht="16.350000000000001" customHeight="1" x14ac:dyDescent="0.3">
      <c r="B72" s="1878" t="s">
        <v>1338</v>
      </c>
      <c r="C72" s="1879"/>
      <c r="D72" s="1136" t="str">
        <f>IF(OR(AJ$80="",AJ$80=0),"",AJ$80)</f>
        <v/>
      </c>
      <c r="E72" s="709"/>
      <c r="F72" s="709"/>
      <c r="G72" s="709"/>
      <c r="H72" s="1137" t="s">
        <v>1339</v>
      </c>
      <c r="I72" s="811" t="s">
        <v>33</v>
      </c>
      <c r="J72" s="1138" t="s">
        <v>34</v>
      </c>
      <c r="K72" s="1138" t="s">
        <v>35</v>
      </c>
      <c r="L72" s="1138" t="s">
        <v>36</v>
      </c>
      <c r="M72" s="1138" t="s">
        <v>84</v>
      </c>
      <c r="N72" s="1138" t="s">
        <v>85</v>
      </c>
      <c r="O72" s="1138" t="s">
        <v>86</v>
      </c>
      <c r="P72" s="1138" t="s">
        <v>1340</v>
      </c>
      <c r="Q72" s="1138" t="s">
        <v>1341</v>
      </c>
      <c r="R72" s="1138" t="s">
        <v>1342</v>
      </c>
      <c r="S72" s="1138" t="s">
        <v>1343</v>
      </c>
      <c r="T72" s="1138" t="s">
        <v>1344</v>
      </c>
      <c r="U72" s="1138" t="s">
        <v>1345</v>
      </c>
      <c r="V72" s="1138" t="s">
        <v>1346</v>
      </c>
      <c r="W72" s="1138" t="s">
        <v>1347</v>
      </c>
      <c r="X72" s="1138" t="s">
        <v>1348</v>
      </c>
      <c r="Y72" s="1138" t="s">
        <v>1349</v>
      </c>
      <c r="Z72" s="1138" t="s">
        <v>1350</v>
      </c>
      <c r="AA72" s="1138" t="s">
        <v>1351</v>
      </c>
      <c r="AB72" s="1138" t="s">
        <v>1352</v>
      </c>
      <c r="AC72" s="1138" t="s">
        <v>1353</v>
      </c>
      <c r="AD72" s="1138" t="s">
        <v>1354</v>
      </c>
      <c r="AE72" s="1138" t="s">
        <v>1355</v>
      </c>
      <c r="AF72" s="1138" t="s">
        <v>415</v>
      </c>
      <c r="AG72" s="1138" t="s">
        <v>1356</v>
      </c>
      <c r="AH72" s="1139" t="s">
        <v>1357</v>
      </c>
    </row>
    <row r="73" spans="2:45" s="614" customFormat="1" ht="16.350000000000001" customHeight="1" thickBot="1" x14ac:dyDescent="0.35">
      <c r="B73" s="1880" t="s">
        <v>1358</v>
      </c>
      <c r="C73" s="1881"/>
      <c r="D73" s="1144" t="str">
        <f>IF(AJ$80=0,"",
IF((AK$80/AJ$80)&gt;0.9,"PASS","FAIL"))</f>
        <v/>
      </c>
      <c r="E73" s="709"/>
      <c r="F73" s="709"/>
      <c r="G73" s="709"/>
      <c r="H73" s="1145" t="s">
        <v>1361</v>
      </c>
      <c r="I73" s="1146"/>
      <c r="J73" s="1147"/>
      <c r="K73" s="1147"/>
      <c r="L73" s="1147"/>
      <c r="M73" s="1147"/>
      <c r="N73" s="1147"/>
      <c r="O73" s="1147"/>
      <c r="P73" s="1147"/>
      <c r="Q73" s="1147"/>
      <c r="R73" s="1147"/>
      <c r="S73" s="1147"/>
      <c r="T73" s="1147"/>
      <c r="U73" s="1147"/>
      <c r="V73" s="1147"/>
      <c r="W73" s="1147"/>
      <c r="X73" s="1147"/>
      <c r="Y73" s="1147"/>
      <c r="Z73" s="1147"/>
      <c r="AA73" s="1147"/>
      <c r="AB73" s="1147"/>
      <c r="AC73" s="1147"/>
      <c r="AD73" s="1147"/>
      <c r="AE73" s="1147"/>
      <c r="AF73" s="1147"/>
      <c r="AG73" s="1147"/>
      <c r="AH73" s="1148"/>
    </row>
    <row r="74" spans="2:45" s="614" customFormat="1" ht="13.8" thickBot="1" x14ac:dyDescent="0.35">
      <c r="C74" s="600"/>
      <c r="D74" s="600"/>
      <c r="E74" s="600"/>
      <c r="F74" s="600"/>
      <c r="G74" s="600"/>
      <c r="H74" s="600"/>
      <c r="M74" s="600"/>
      <c r="N74" s="600"/>
      <c r="O74" s="600"/>
      <c r="W74" s="640"/>
      <c r="X74" s="640"/>
      <c r="Y74" s="640"/>
      <c r="Z74" s="640"/>
      <c r="AA74" s="640"/>
      <c r="AB74" s="640"/>
      <c r="AC74" s="640"/>
      <c r="AD74" s="640"/>
      <c r="AE74" s="640"/>
      <c r="AF74" s="640"/>
      <c r="AJ74" s="1214" t="s">
        <v>1247</v>
      </c>
      <c r="AK74" s="1214" t="s">
        <v>1247</v>
      </c>
    </row>
    <row r="75" spans="2:45" s="614" customFormat="1" ht="16.2" thickBot="1" x14ac:dyDescent="0.35">
      <c r="C75" s="600"/>
      <c r="D75" s="801"/>
      <c r="E75" s="877"/>
      <c r="F75" s="1282"/>
      <c r="G75" s="1283" t="s">
        <v>1379</v>
      </c>
      <c r="H75" s="1284" t="s">
        <v>1381</v>
      </c>
      <c r="I75" s="1285" t="str">
        <f>Table10aCommonEx124[[#Headers],[A]]</f>
        <v>A</v>
      </c>
      <c r="J75" s="1218" t="str">
        <f>Table10aCommonEx124[[#Headers],[B]]</f>
        <v>B</v>
      </c>
      <c r="K75" s="1218" t="str">
        <f>Table10aCommonEx124[[#Headers],[C]]</f>
        <v>C</v>
      </c>
      <c r="L75" s="1218" t="str">
        <f>Table10aCommonEx124[[#Headers],[D]]</f>
        <v>D</v>
      </c>
      <c r="M75" s="1218" t="str">
        <f>Table10aCommonEx124[[#Headers],[E]]</f>
        <v>E</v>
      </c>
      <c r="N75" s="1218" t="str">
        <f>Table10aCommonEx124[[#Headers],[F]]</f>
        <v>F</v>
      </c>
      <c r="O75" s="1218" t="str">
        <f>Table10aCommonEx124[[#Headers],[G]]</f>
        <v>G</v>
      </c>
      <c r="P75" s="1218" t="str">
        <f>Table10aCommonEx124[[#Headers],[H]]</f>
        <v>H</v>
      </c>
      <c r="Q75" s="1218" t="str">
        <f>Table10aCommonEx124[[#Headers],[I]]</f>
        <v>I</v>
      </c>
      <c r="R75" s="1218" t="str">
        <f>Table10aCommonEx124[[#Headers],[J]]</f>
        <v>J</v>
      </c>
      <c r="S75" s="1218" t="str">
        <f>Table10aCommonEx124[[#Headers],[K]]</f>
        <v>K</v>
      </c>
      <c r="T75" s="1218" t="str">
        <f>Table10aCommonEx124[[#Headers],[L]]</f>
        <v>L</v>
      </c>
      <c r="U75" s="1218" t="str">
        <f>Table10aCommonEx124[[#Headers],[M]]</f>
        <v>M</v>
      </c>
      <c r="V75" s="1218" t="str">
        <f>Table10aCommonEx124[[#Headers],[N]]</f>
        <v>N</v>
      </c>
      <c r="W75" s="1218" t="str">
        <f>Table10aCommonEx124[[#Headers],[O]]</f>
        <v>O</v>
      </c>
      <c r="X75" s="1218" t="str">
        <f>Table10aCommonEx124[[#Headers],[P]]</f>
        <v>P</v>
      </c>
      <c r="Y75" s="1218" t="str">
        <f>Table10aCommonEx124[[#Headers],[Q]]</f>
        <v>Q</v>
      </c>
      <c r="Z75" s="1218" t="str">
        <f>Table10aCommonEx124[[#Headers],[R]]</f>
        <v>R</v>
      </c>
      <c r="AA75" s="1218" t="str">
        <f>Table10aCommonEx124[[#Headers],[S]]</f>
        <v>S</v>
      </c>
      <c r="AB75" s="1218" t="str">
        <f>Table10aCommonEx124[[#Headers],[T]]</f>
        <v>T</v>
      </c>
      <c r="AC75" s="1218" t="str">
        <f>Table10aCommonEx124[[#Headers],[U]]</f>
        <v>U</v>
      </c>
      <c r="AD75" s="1218" t="str">
        <f>Table10aCommonEx124[[#Headers],[V]]</f>
        <v>V</v>
      </c>
      <c r="AE75" s="1218" t="str">
        <f>Table10aCommonEx124[[#Headers],[W]]</f>
        <v>W</v>
      </c>
      <c r="AF75" s="1218" t="str">
        <f>Table10aCommonEx124[[#Headers],[X]]</f>
        <v>X</v>
      </c>
      <c r="AG75" s="1218" t="str">
        <f>Table10aCommonEx124[[#Headers],[Y]]</f>
        <v>Y</v>
      </c>
      <c r="AH75" s="1219" t="str">
        <f>Table10aCommonEx124[[#Headers],[Z]]</f>
        <v>Z</v>
      </c>
      <c r="AJ75" s="1286" t="s">
        <v>1368</v>
      </c>
      <c r="AK75" s="1287" t="s">
        <v>1369</v>
      </c>
    </row>
    <row r="76" spans="2:45" s="614" customFormat="1" ht="13.8" hidden="1" thickBot="1" x14ac:dyDescent="0.35">
      <c r="B76" s="709"/>
      <c r="C76" s="709"/>
      <c r="D76" s="709"/>
      <c r="E76" s="709"/>
      <c r="F76" s="709"/>
      <c r="G76" s="1288" t="s">
        <v>1379</v>
      </c>
      <c r="H76" s="1289" t="s">
        <v>1381</v>
      </c>
      <c r="I76" s="1210" t="s">
        <v>33</v>
      </c>
      <c r="J76" s="1224" t="s">
        <v>34</v>
      </c>
      <c r="K76" s="1224" t="s">
        <v>35</v>
      </c>
      <c r="L76" s="1224" t="s">
        <v>36</v>
      </c>
      <c r="M76" s="1224" t="s">
        <v>84</v>
      </c>
      <c r="N76" s="1225" t="s">
        <v>85</v>
      </c>
      <c r="O76" s="1225" t="s">
        <v>86</v>
      </c>
      <c r="P76" s="1225" t="s">
        <v>1340</v>
      </c>
      <c r="Q76" s="1225" t="s">
        <v>1341</v>
      </c>
      <c r="R76" s="1225" t="s">
        <v>1342</v>
      </c>
      <c r="S76" s="1225" t="s">
        <v>1343</v>
      </c>
      <c r="T76" s="1225" t="s">
        <v>1344</v>
      </c>
      <c r="U76" s="1225" t="s">
        <v>1345</v>
      </c>
      <c r="V76" s="1225" t="s">
        <v>1346</v>
      </c>
      <c r="W76" s="1225" t="s">
        <v>1347</v>
      </c>
      <c r="X76" s="1225" t="s">
        <v>1348</v>
      </c>
      <c r="Y76" s="1225" t="s">
        <v>1349</v>
      </c>
      <c r="Z76" s="1225" t="s">
        <v>1350</v>
      </c>
      <c r="AA76" s="1225" t="s">
        <v>1351</v>
      </c>
      <c r="AB76" s="1225" t="s">
        <v>1352</v>
      </c>
      <c r="AC76" s="1225" t="s">
        <v>1353</v>
      </c>
      <c r="AD76" s="1225" t="s">
        <v>1354</v>
      </c>
      <c r="AE76" s="1225" t="s">
        <v>1355</v>
      </c>
      <c r="AF76" s="1225" t="s">
        <v>415</v>
      </c>
      <c r="AG76" s="1225" t="s">
        <v>1356</v>
      </c>
      <c r="AH76" s="1226" t="s">
        <v>1357</v>
      </c>
      <c r="AI76" s="1227" t="s">
        <v>1123</v>
      </c>
      <c r="AJ76" s="1290" t="s">
        <v>1368</v>
      </c>
      <c r="AK76" s="1290" t="s">
        <v>1369</v>
      </c>
      <c r="AL76" s="1290"/>
    </row>
    <row r="77" spans="2:45" s="614" customFormat="1" ht="12.6" customHeight="1" x14ac:dyDescent="0.3">
      <c r="B77" s="734"/>
      <c r="C77" s="734"/>
      <c r="D77" s="734"/>
      <c r="E77" s="734"/>
      <c r="F77" s="734"/>
      <c r="G77" s="1291"/>
      <c r="H77" s="1292"/>
      <c r="I77" s="816"/>
      <c r="J77" s="1142"/>
      <c r="K77" s="1142"/>
      <c r="L77" s="1142"/>
      <c r="M77" s="1142"/>
      <c r="N77" s="1142"/>
      <c r="O77" s="1142"/>
      <c r="P77" s="1142"/>
      <c r="Q77" s="1142"/>
      <c r="R77" s="1142"/>
      <c r="S77" s="1142"/>
      <c r="T77" s="1142"/>
      <c r="U77" s="1142"/>
      <c r="V77" s="1142"/>
      <c r="W77" s="1142"/>
      <c r="X77" s="1142"/>
      <c r="Y77" s="1142"/>
      <c r="Z77" s="1142"/>
      <c r="AA77" s="1142"/>
      <c r="AB77" s="1142"/>
      <c r="AC77" s="1142"/>
      <c r="AD77" s="1142"/>
      <c r="AE77" s="1142"/>
      <c r="AF77" s="1142"/>
      <c r="AG77" s="1142"/>
      <c r="AH77" s="1187"/>
      <c r="AI77" s="1179"/>
      <c r="AJ77" s="1293">
        <f>SUM(Table10bCommonEx123[[#This Row],[A]:[Z]])</f>
        <v>0</v>
      </c>
      <c r="AK77" s="1293">
        <f>SUM(IF(OR($I$73="Tier I",$I$73="Tier II",$I$73="ES"),Table10bCommonEx123[[#This Row],[A]],0),
IF(OR($J$73="Tier I",$J$73="Tier II",$J$73="ES"),Table10bCommonEx123[[#This Row],[B]],0),
IF(OR($K$73="Tier I",$K$73="Tier II",$K$73="ES"),Table10bCommonEx123[[#This Row],[C]],0),
IF(OR($L$73="Tier I",$L$73="Tier II",$L$73="ES"),Table10bCommonEx123[[#This Row],[D]],0),
IF(OR($M$73="Tier I",$M$73="Tier II",$M$73="ES"),Table10bCommonEx123[[#This Row],[E]],0),
IF(OR($N$73="Tier I",$N$73="Tier II",$N$73="ES"),Table10bCommonEx123[[#This Row],[F]],0),
IF(OR($O$73="Tier I",$O$73="Tier II",$O$73="ES"),Table10bCommonEx123[[#This Row],[G]],0),
IF(OR($P$73="Tier I",$P$73="Tier II",$P$73="ES"),Table10bCommonEx123[[#This Row],[H]],0),
IF(OR($Q$73="Tier I",$Q$73="Tier II",$Q$73="ES"),Table10bCommonEx123[[#This Row],[I]],0),
IF(OR($R$73="Tier I",$R$73="Tier II",$R$73="ES"),Table10bCommonEx123[[#This Row],[J]],0),
IF(OR($S$73="Tier I",$S$73="Tier II",$S$73="ES"),Table10bCommonEx123[[#This Row],[K]],0),
IF(OR($T$73="Tier I",$T$73="Tier II",$T$73="ES"),Table10bCommonEx123[[#This Row],[L]],0),
IF(OR($U$73="Tier I",$U$73="Tier II",$U$73="ES"),Table10bCommonEx123[[#This Row],[M]],0),
IF(OR($V$73="Tier I",$V$73="Tier II",$V$73="ES"),Table10bCommonEx123[[#This Row],[N]],0),
IF(OR($W$73="Tier I",$W$73="Tier II",$W$73="ES"),Table10bCommonEx123[[#This Row],[O]],0),
IF(OR($X$73="Tier I",$X$73="Tier II",$X$73="ES"),Table10bCommonEx123[[#This Row],[P]],0),
IF(OR($Y$73="Tier I",$Y$73="Tier II",$Y$73="ES"),Table10bCommonEx123[[#This Row],[Q]],0),
IF(OR($Z$73="Tier I",$Z$73="Tier II",$Z$73="ES"),Table10bCommonEx123[[#This Row],[R]],0),
IF(OR($AA$73="Tier I",$AA$73="Tier II",$AA$73="ES"),Table10bCommonEx123[[#This Row],[S]],0),
IF(OR($AB$73="Tier I",$AB$73="Tier II",$AB$73="ES"),Table10bCommonEx123[[#This Row],[T]],0),
IF(OR($AC$73="Tier I",$AC$73="Tier II",$AC$73="ES"),Table10bCommonEx123[[#This Row],[U]],0),
IF(OR($AD$73="Tier I",$AD$73="Tier II",$AD$73="ES"),Table10bCommonEx123[[#This Row],[V]],0),
IF(OR($AE$73="Tier I",$AE$73="Tier II",$AE$73="ES"),Table10bCommonEx123[[#This Row],[W]],0),
IF(OR($AF$73="Tier I",$AF$73="Tier II",$AF$73="ES"),Table10bCommonEx123[[#This Row],[X]],0),
IF(OR($AG$73="Tier I",$AG$73="Tier II",$AG$73="ES"),Table10bCommonEx123[[#This Row],[Y]],0),
IF(OR($AH$73="Tier I",$AH$73="Tier II",$AH$73="ES"),Table10bCommonEx123[[#This Row],[Z]],0))</f>
        <v>0</v>
      </c>
      <c r="AL77" s="1179"/>
    </row>
    <row r="78" spans="2:45" s="614" customFormat="1" ht="12.9" customHeight="1" x14ac:dyDescent="0.3">
      <c r="B78" s="734"/>
      <c r="C78" s="734"/>
      <c r="D78" s="734"/>
      <c r="E78" s="734"/>
      <c r="F78" s="734"/>
      <c r="G78" s="1291"/>
      <c r="H78" s="1292"/>
      <c r="I78" s="816"/>
      <c r="J78" s="1142"/>
      <c r="K78" s="1142"/>
      <c r="L78" s="1142"/>
      <c r="M78" s="1142"/>
      <c r="N78" s="1142"/>
      <c r="O78" s="1142"/>
      <c r="P78" s="1142"/>
      <c r="Q78" s="1142"/>
      <c r="R78" s="1142"/>
      <c r="S78" s="1142"/>
      <c r="T78" s="1142"/>
      <c r="U78" s="1142"/>
      <c r="V78" s="1142"/>
      <c r="W78" s="1142"/>
      <c r="X78" s="1142"/>
      <c r="Y78" s="1142"/>
      <c r="Z78" s="1142"/>
      <c r="AA78" s="1142"/>
      <c r="AB78" s="1142"/>
      <c r="AC78" s="1142"/>
      <c r="AD78" s="1142"/>
      <c r="AE78" s="1142"/>
      <c r="AF78" s="1142"/>
      <c r="AG78" s="1142"/>
      <c r="AH78" s="1187"/>
      <c r="AI78" s="1179"/>
      <c r="AJ78" s="1294">
        <f>SUM(Table10bCommonEx123[[#This Row],[A]:[Z]])</f>
        <v>0</v>
      </c>
      <c r="AK78" s="1293">
        <f>SUM(IF(OR($I$73="Tier I",$I$73="Tier II",$I$73="ES"),Table10bCommonEx123[[#This Row],[A]],0),
IF(OR($J$73="Tier I",$J$73="Tier II",$J$73="ES"),Table10bCommonEx123[[#This Row],[B]],0),
IF(OR($K$73="Tier I",$K$73="Tier II",$K$73="ES"),Table10bCommonEx123[[#This Row],[C]],0),
IF(OR($L$73="Tier I",$L$73="Tier II",$L$73="ES"),Table10bCommonEx123[[#This Row],[D]],0),
IF(OR($M$73="Tier I",$M$73="Tier II",$M$73="ES"),Table10bCommonEx123[[#This Row],[E]],0),
IF(OR($N$73="Tier I",$N$73="Tier II",$N$73="ES"),Table10bCommonEx123[[#This Row],[F]],0),
IF(OR($O$73="Tier I",$O$73="Tier II",$O$73="ES"),Table10bCommonEx123[[#This Row],[G]],0),
IF(OR($P$73="Tier I",$P$73="Tier II",$P$73="ES"),Table10bCommonEx123[[#This Row],[H]],0),
IF(OR($Q$73="Tier I",$Q$73="Tier II",$Q$73="ES"),Table10bCommonEx123[[#This Row],[I]],0),
IF(OR($R$73="Tier I",$R$73="Tier II",$R$73="ES"),Table10bCommonEx123[[#This Row],[J]],0),
IF(OR($S$73="Tier I",$S$73="Tier II",$S$73="ES"),Table10bCommonEx123[[#This Row],[K]],0),
IF(OR($T$73="Tier I",$T$73="Tier II",$T$73="ES"),Table10bCommonEx123[[#This Row],[L]],0),
IF(OR($U$73="Tier I",$U$73="Tier II",$U$73="ES"),Table10bCommonEx123[[#This Row],[M]],0),
IF(OR($V$73="Tier I",$V$73="Tier II",$V$73="ES"),Table10bCommonEx123[[#This Row],[N]],0),
IF(OR($W$73="Tier I",$W$73="Tier II",$W$73="ES"),Table10bCommonEx123[[#This Row],[O]],0),
IF(OR($X$73="Tier I",$X$73="Tier II",$X$73="ES"),Table10bCommonEx123[[#This Row],[P]],0),
IF(OR($Y$73="Tier I",$Y$73="Tier II",$Y$73="ES"),Table10bCommonEx123[[#This Row],[Q]],0),
IF(OR($Z$73="Tier I",$Z$73="Tier II",$Z$73="ES"),Table10bCommonEx123[[#This Row],[R]],0),
IF(OR($AA$73="Tier I",$AA$73="Tier II",$AA$73="ES"),Table10bCommonEx123[[#This Row],[S]],0),
IF(OR($AB$73="Tier I",$AB$73="Tier II",$AB$73="ES"),Table10bCommonEx123[[#This Row],[T]],0),
IF(OR($AC$73="Tier I",$AC$73="Tier II",$AC$73="ES"),Table10bCommonEx123[[#This Row],[U]],0),
IF(OR($AD$73="Tier I",$AD$73="Tier II",$AD$73="ES"),Table10bCommonEx123[[#This Row],[V]],0),
IF(OR($AE$73="Tier I",$AE$73="Tier II",$AE$73="ES"),Table10bCommonEx123[[#This Row],[W]],0),
IF(OR($AF$73="Tier I",$AF$73="Tier II",$AF$73="ES"),Table10bCommonEx123[[#This Row],[X]],0),
IF(OR($AG$73="Tier I",$AG$73="Tier II",$AG$73="ES"),Table10bCommonEx123[[#This Row],[Y]],0),
IF(OR($AH$73="Tier I",$AH$73="Tier II",$AH$73="ES"),Table10bCommonEx123[[#This Row],[Z]],0))</f>
        <v>0</v>
      </c>
      <c r="AL78" s="1179"/>
    </row>
    <row r="79" spans="2:45" s="614" customFormat="1" ht="13.8" thickBot="1" x14ac:dyDescent="0.35">
      <c r="B79" s="734"/>
      <c r="C79" s="734"/>
      <c r="D79" s="734"/>
      <c r="E79" s="734"/>
      <c r="F79" s="734"/>
      <c r="G79" s="1295"/>
      <c r="H79" s="1296"/>
      <c r="I79" s="1297"/>
      <c r="J79" s="1275"/>
      <c r="K79" s="1275"/>
      <c r="L79" s="1275"/>
      <c r="M79" s="1275"/>
      <c r="N79" s="1275"/>
      <c r="O79" s="1275"/>
      <c r="P79" s="1275"/>
      <c r="Q79" s="1275"/>
      <c r="R79" s="1275"/>
      <c r="S79" s="1275"/>
      <c r="T79" s="1275"/>
      <c r="U79" s="1275"/>
      <c r="V79" s="1275"/>
      <c r="W79" s="1275"/>
      <c r="X79" s="1275"/>
      <c r="Y79" s="1275"/>
      <c r="Z79" s="1275"/>
      <c r="AA79" s="1275"/>
      <c r="AB79" s="1275"/>
      <c r="AC79" s="1275"/>
      <c r="AD79" s="1275"/>
      <c r="AE79" s="1275"/>
      <c r="AF79" s="1275"/>
      <c r="AG79" s="1275"/>
      <c r="AH79" s="1277"/>
      <c r="AI79" s="1179"/>
      <c r="AJ79" s="1298">
        <f>SUM(Table10bCommonEx123[[#This Row],[A]:[Z]])</f>
        <v>0</v>
      </c>
      <c r="AK79" s="1179">
        <f>SUM(IF(OR($I$73="Tier I",$I$73="Tier II",$I$73="ES"),Table10bCommonEx123[[#This Row],[A]],0),
IF(OR($J$73="Tier I",$J$73="Tier II",$J$73="ES"),Table10bCommonEx123[[#This Row],[B]],0),
IF(OR($K$73="Tier I",$K$73="Tier II",$K$73="ES"),Table10bCommonEx123[[#This Row],[C]],0),
IF(OR($L$73="Tier I",$L$73="Tier II",$L$73="ES"),Table10bCommonEx123[[#This Row],[D]],0),
IF(OR($M$73="Tier I",$M$73="Tier II",$M$73="ES"),Table10bCommonEx123[[#This Row],[E]],0),
IF(OR($N$73="Tier I",$N$73="Tier II",$N$73="ES"),Table10bCommonEx123[[#This Row],[F]],0),
IF(OR($O$73="Tier I",$O$73="Tier II",$O$73="ES"),Table10bCommonEx123[[#This Row],[G]],0),
IF(OR($P$73="Tier I",$P$73="Tier II",$P$73="ES"),Table10bCommonEx123[[#This Row],[H]],0),
IF(OR($Q$73="Tier I",$Q$73="Tier II",$Q$73="ES"),Table10bCommonEx123[[#This Row],[I]],0),
IF(OR($R$73="Tier I",$R$73="Tier II",$R$73="ES"),Table10bCommonEx123[[#This Row],[J]],0),
IF(OR($S$73="Tier I",$S$73="Tier II",$S$73="ES"),Table10bCommonEx123[[#This Row],[K]],0),
IF(OR($T$73="Tier I",$T$73="Tier II",$T$73="ES"),Table10bCommonEx123[[#This Row],[L]],0),
IF(OR($U$73="Tier I",$U$73="Tier II",$U$73="ES"),Table10bCommonEx123[[#This Row],[M]],0),
IF(OR($V$73="Tier I",$V$73="Tier II",$V$73="ES"),Table10bCommonEx123[[#This Row],[N]],0),
IF(OR($W$73="Tier I",$W$73="Tier II",$W$73="ES"),Table10bCommonEx123[[#This Row],[O]],0),
IF(OR($X$73="Tier I",$X$73="Tier II",$X$73="ES"),Table10bCommonEx123[[#This Row],[P]],0),
IF(OR($Y$73="Tier I",$Y$73="Tier II",$Y$73="ES"),Table10bCommonEx123[[#This Row],[Q]],0),
IF(OR($Z$73="Tier I",$Z$73="Tier II",$Z$73="ES"),Table10bCommonEx123[[#This Row],[R]],0),
IF(OR($AA$73="Tier I",$AA$73="Tier II",$AA$73="ES"),Table10bCommonEx123[[#This Row],[S]],0),
IF(OR($AB$73="Tier I",$AB$73="Tier II",$AB$73="ES"),Table10bCommonEx123[[#This Row],[T]],0),
IF(OR($AC$73="Tier I",$AC$73="Tier II",$AC$73="ES"),Table10bCommonEx123[[#This Row],[U]],0),
IF(OR($AD$73="Tier I",$AD$73="Tier II",$AD$73="ES"),Table10bCommonEx123[[#This Row],[V]],0),
IF(OR($AE$73="Tier I",$AE$73="Tier II",$AE$73="ES"),Table10bCommonEx123[[#This Row],[W]],0),
IF(OR($AF$73="Tier I",$AF$73="Tier II",$AF$73="ES"),Table10bCommonEx123[[#This Row],[X]],0),
IF(OR($AG$73="Tier I",$AG$73="Tier II",$AG$73="ES"),Table10bCommonEx123[[#This Row],[Y]],0),
IF(OR($AH$73="Tier I",$AH$73="Tier II",$AH$73="ES"),Table10bCommonEx123[[#This Row],[Z]],0))</f>
        <v>0</v>
      </c>
      <c r="AL79" s="1179"/>
    </row>
    <row r="80" spans="2:45" ht="13.8" thickBot="1" x14ac:dyDescent="0.3">
      <c r="B80" s="877"/>
      <c r="C80" s="709"/>
      <c r="D80" s="709"/>
      <c r="E80" s="709"/>
      <c r="F80" s="709"/>
      <c r="G80" s="709"/>
      <c r="H80" s="709"/>
      <c r="I80" s="709"/>
      <c r="J80" s="709"/>
      <c r="K80" s="709"/>
      <c r="L80" s="709"/>
      <c r="M80" s="709"/>
      <c r="N80" s="709"/>
      <c r="O80" s="709"/>
      <c r="W80" s="604"/>
      <c r="X80" s="604"/>
      <c r="Y80" s="604"/>
      <c r="Z80" s="604"/>
      <c r="AA80" s="604"/>
      <c r="AB80" s="604"/>
      <c r="AC80" s="604"/>
      <c r="AD80" s="604"/>
      <c r="AE80" s="604"/>
      <c r="AF80" s="604"/>
      <c r="AJ80" s="1200">
        <f>SUM(Table10bCommonEx123[Total Fixtures])</f>
        <v>0</v>
      </c>
      <c r="AK80" s="1200">
        <f>SUM(Table10bCommonEx123[TierI/TierII/ES Fixtures])</f>
        <v>0</v>
      </c>
    </row>
    <row r="81" spans="2:32" x14ac:dyDescent="0.25">
      <c r="B81" s="734"/>
      <c r="C81" s="734"/>
      <c r="D81" s="734"/>
      <c r="E81" s="734"/>
      <c r="F81" s="734"/>
      <c r="G81" s="734"/>
      <c r="H81" s="734"/>
      <c r="I81" s="734"/>
      <c r="J81" s="734"/>
      <c r="K81" s="709"/>
      <c r="L81" s="709"/>
      <c r="M81" s="1281"/>
      <c r="N81" s="709"/>
      <c r="W81" s="604"/>
      <c r="X81" s="604"/>
      <c r="Y81" s="604"/>
      <c r="Z81" s="604"/>
      <c r="AA81" s="604"/>
      <c r="AB81" s="604"/>
      <c r="AC81" s="604"/>
      <c r="AD81" s="604"/>
      <c r="AE81" s="604"/>
      <c r="AF81" s="604"/>
    </row>
    <row r="82" spans="2:32" x14ac:dyDescent="0.25">
      <c r="C82" s="601"/>
      <c r="W82" s="604"/>
      <c r="X82" s="604"/>
      <c r="Y82" s="604"/>
      <c r="Z82" s="604"/>
      <c r="AA82" s="604"/>
      <c r="AB82" s="604"/>
      <c r="AC82" s="604"/>
      <c r="AD82" s="604"/>
      <c r="AE82" s="604"/>
      <c r="AF82" s="604"/>
    </row>
    <row r="83" spans="2:32" x14ac:dyDescent="0.25">
      <c r="W83" s="604"/>
      <c r="X83" s="604"/>
      <c r="Y83" s="604"/>
      <c r="Z83" s="604"/>
      <c r="AA83" s="604"/>
      <c r="AB83" s="604"/>
      <c r="AC83" s="604"/>
      <c r="AD83" s="604"/>
      <c r="AE83" s="604"/>
      <c r="AF83" s="604"/>
    </row>
    <row r="84" spans="2:32" x14ac:dyDescent="0.25">
      <c r="W84" s="604"/>
      <c r="X84" s="604"/>
      <c r="Y84" s="604"/>
      <c r="Z84" s="604"/>
      <c r="AA84" s="604"/>
      <c r="AB84" s="604"/>
      <c r="AC84" s="604"/>
      <c r="AD84" s="604"/>
      <c r="AE84" s="604"/>
      <c r="AF84" s="604"/>
    </row>
    <row r="85" spans="2:32" x14ac:dyDescent="0.25">
      <c r="W85" s="604"/>
      <c r="X85" s="604"/>
      <c r="Y85" s="604"/>
      <c r="Z85" s="604"/>
      <c r="AA85" s="604"/>
      <c r="AB85" s="604"/>
      <c r="AC85" s="604"/>
      <c r="AD85" s="604"/>
      <c r="AE85" s="604"/>
      <c r="AF85" s="604"/>
    </row>
    <row r="86" spans="2:32" x14ac:dyDescent="0.25">
      <c r="W86" s="604"/>
      <c r="X86" s="604"/>
      <c r="Y86" s="604"/>
      <c r="Z86" s="604"/>
      <c r="AA86" s="604"/>
      <c r="AB86" s="604"/>
      <c r="AC86" s="604"/>
      <c r="AD86" s="604"/>
      <c r="AE86" s="604"/>
      <c r="AF86" s="604"/>
    </row>
    <row r="87" spans="2:32" x14ac:dyDescent="0.25">
      <c r="W87" s="604"/>
      <c r="X87" s="604"/>
      <c r="Y87" s="604"/>
      <c r="Z87" s="604"/>
      <c r="AA87" s="604"/>
      <c r="AB87" s="604"/>
      <c r="AC87" s="604"/>
      <c r="AD87" s="604"/>
      <c r="AE87" s="604"/>
      <c r="AF87" s="604"/>
    </row>
  </sheetData>
  <sheetProtection algorithmName="SHA-512" hashValue="KeiLk1lQmA7OTooC3DXjGP1SStBZr79gbFdV3J3YjR13YtQdQ+1qFscdKGZp//YJ1LNziiv/urLh+vuoybOo4A==" saltValue="vtMHNjL5HTwS3SIbFDJ1Qg==" spinCount="100000" sheet="1" formatColumns="0" formatRows="0" insertColumns="0" insertRows="0"/>
  <mergeCells count="21">
    <mergeCell ref="L41:M41"/>
    <mergeCell ref="C2:O2"/>
    <mergeCell ref="B6:O8"/>
    <mergeCell ref="B11:O11"/>
    <mergeCell ref="B13:C13"/>
    <mergeCell ref="B14:C14"/>
    <mergeCell ref="B15:C15"/>
    <mergeCell ref="B34:K34"/>
    <mergeCell ref="B36:O36"/>
    <mergeCell ref="B38:C38"/>
    <mergeCell ref="B39:C39"/>
    <mergeCell ref="B40:C40"/>
    <mergeCell ref="B70:O70"/>
    <mergeCell ref="B72:C72"/>
    <mergeCell ref="B73:C73"/>
    <mergeCell ref="B43:D43"/>
    <mergeCell ref="E43:G43"/>
    <mergeCell ref="B55:D55"/>
    <mergeCell ref="B57:O57"/>
    <mergeCell ref="B59:O59"/>
    <mergeCell ref="B61:C61"/>
  </mergeCells>
  <conditionalFormatting sqref="A1:XFD1 A12:V12 AC11:XFD12 AC36:XFD37 A11:B11 T11:V11 A9:XFD10 A6:B6 A7:A8 T6:XFD8 A3:XFD5 A2:C2 T2:XFD2 Y42:XFD42 B74:E74 B76:C79 T59:U59 B58:U58 B57 T57:U57 A71:A1048576 T70:U70 B68:U69 A66:A69 B66:E67 N60:U60 B75:D75 A13:A18 V42:W42 V41:XFD41 B36 A45 T36:V36 B35:U35 B34 L34:U34 A47:A59 A19:F25 A26:A42 V33:XFD35 B33:U33 O43:XFD43 A64:E64 V81:XFD1048576 B80:U1048576 A60:E60 B59 B13:B15 B71:U71 B72:B73 B37:V37 B41:U42 B38:B40 D13:E15 H13:XFD15 B17:F17 H17 B26:F32 H19:H32 B16:XFD16 D38:E40 H38:M40 AI38:XFD40 B56:U56 A46:F46 AI46:AM46 A44:K44 B47:F55 AI45:AK45 AP45:XFD45 N44:O44 V44:XFD44 I46:M54 AI17:AI32 AC47:AM54 AN46:XFD54 V68:XFD71 AT65:XFD67 V56:XFD60 AI61:XFD63 AI65:AM66 I67:AM67 N64:XFD64 D72:H72 G74:AI74 AI72:XFD73 D73:AH73 V80:AI80 AL74:XFD80 AI75:AI79 F76 F77:AH79 H76 AL17:XFD32 I55:XFD55">
    <cfRule type="cellIs" dxfId="1149" priority="73" operator="equal">
      <formula>"PASS"</formula>
    </cfRule>
    <cfRule type="cellIs" dxfId="1148" priority="74" operator="equal">
      <formula>"FAIL"</formula>
    </cfRule>
  </conditionalFormatting>
  <conditionalFormatting sqref="A43 K43:L43 A70 G60:J60 A65 A61:A63 E61:E63 G64:J64 G61:G63">
    <cfRule type="cellIs" dxfId="1147" priority="71" operator="equal">
      <formula>"PASS"</formula>
    </cfRule>
    <cfRule type="cellIs" dxfId="1146" priority="72" operator="equal">
      <formula>"FAIL"</formula>
    </cfRule>
  </conditionalFormatting>
  <conditionalFormatting sqref="B57">
    <cfRule type="containsText" dxfId="1145" priority="70" operator="containsText" text="Installed Watts/SF in one or more spaces reflects savings of 30% or greater compared to ASHRAE. Please provide supporting calculations or footcandle measurements to demonstrate that the space is illuminated to the minimum levels required by IESNA.">
      <formula>NOT(ISERROR(SEARCH("Installed Watts/SF in one or more spaces reflects savings of 30% or greater compared to ASHRAE. Please provide supporting calculations or footcandle measurements to demonstrate that the space is illuminated to the minimum levels required by IESNA.",B57)))</formula>
    </cfRule>
  </conditionalFormatting>
  <conditionalFormatting sqref="E37:E42 E35 E32:E33">
    <cfRule type="expression" dxfId="1144" priority="69">
      <formula>IF($Q32="Display Lit Area Warning",TRUE,"")</formula>
    </cfRule>
  </conditionalFormatting>
  <conditionalFormatting sqref="B34:K34">
    <cfRule type="containsText" dxfId="1143" priority="68" operator="containsText" text="In one or more highlighted spaces above">
      <formula>NOT(ISERROR(SEARCH("In one or more highlighted spaces above",B34)))</formula>
    </cfRule>
  </conditionalFormatting>
  <conditionalFormatting sqref="D14">
    <cfRule type="containsText" dxfId="1142" priority="66" operator="containsText" text="PASS">
      <formula>NOT(ISERROR(SEARCH("PASS",D14)))</formula>
    </cfRule>
    <cfRule type="containsText" dxfId="1141" priority="67" operator="containsText" text="FAIL">
      <formula>NOT(ISERROR(SEARCH("FAIL",D14)))</formula>
    </cfRule>
  </conditionalFormatting>
  <conditionalFormatting sqref="D73">
    <cfRule type="containsText" dxfId="1140" priority="64" operator="containsText" text="PASS">
      <formula>NOT(ISERROR(SEARCH("PASS",D73)))</formula>
    </cfRule>
    <cfRule type="containsText" dxfId="1139" priority="65" operator="containsText" text="FAIL">
      <formula>NOT(ISERROR(SEARCH("FAIL",D73)))</formula>
    </cfRule>
  </conditionalFormatting>
  <conditionalFormatting sqref="D61:D63">
    <cfRule type="cellIs" dxfId="1138" priority="62" operator="equal">
      <formula>"PASS"</formula>
    </cfRule>
    <cfRule type="cellIs" dxfId="1137" priority="63" operator="equal">
      <formula>"FAIL"</formula>
    </cfRule>
  </conditionalFormatting>
  <conditionalFormatting sqref="D39">
    <cfRule type="containsText" dxfId="1136" priority="60" operator="containsText" text="PASS">
      <formula>NOT(ISERROR(SEARCH("PASS",D39)))</formula>
    </cfRule>
    <cfRule type="containsText" dxfId="1135" priority="61" operator="containsText" text="FAIL">
      <formula>NOT(ISERROR(SEARCH("FAIL",D39)))</formula>
    </cfRule>
  </conditionalFormatting>
  <conditionalFormatting sqref="I19:M31 I17:AH17 I32:AH32">
    <cfRule type="cellIs" dxfId="1134" priority="54" operator="equal">
      <formula>"PASS"</formula>
    </cfRule>
    <cfRule type="cellIs" dxfId="1133" priority="55" operator="equal">
      <formula>"FAIL"</formula>
    </cfRule>
  </conditionalFormatting>
  <conditionalFormatting sqref="AJ19:AK32 AJ17:AK17">
    <cfRule type="cellIs" dxfId="1132" priority="58" operator="equal">
      <formula>"PASS"</formula>
    </cfRule>
    <cfRule type="cellIs" dxfId="1131" priority="59" operator="equal">
      <formula>"FAIL"</formula>
    </cfRule>
  </conditionalFormatting>
  <conditionalFormatting sqref="G17 G19:G32">
    <cfRule type="cellIs" dxfId="1130" priority="56" operator="equal">
      <formula>"PASS"</formula>
    </cfRule>
    <cfRule type="cellIs" dxfId="1129" priority="57" operator="equal">
      <formula>"FAIL"</formula>
    </cfRule>
  </conditionalFormatting>
  <conditionalFormatting sqref="E19:E31">
    <cfRule type="expression" dxfId="1128" priority="75">
      <formula>IF($AM19="Display Lit Area Warning",TRUE,"")</formula>
    </cfRule>
  </conditionalFormatting>
  <conditionalFormatting sqref="N19:R31">
    <cfRule type="cellIs" dxfId="1127" priority="52" operator="equal">
      <formula>"PASS"</formula>
    </cfRule>
    <cfRule type="cellIs" dxfId="1126" priority="53" operator="equal">
      <formula>"FAIL"</formula>
    </cfRule>
  </conditionalFormatting>
  <conditionalFormatting sqref="S19:W31">
    <cfRule type="cellIs" dxfId="1125" priority="50" operator="equal">
      <formula>"PASS"</formula>
    </cfRule>
    <cfRule type="cellIs" dxfId="1124" priority="51" operator="equal">
      <formula>"FAIL"</formula>
    </cfRule>
  </conditionalFormatting>
  <conditionalFormatting sqref="X19:AB31">
    <cfRule type="cellIs" dxfId="1123" priority="48" operator="equal">
      <formula>"PASS"</formula>
    </cfRule>
    <cfRule type="cellIs" dxfId="1122" priority="49" operator="equal">
      <formula>"FAIL"</formula>
    </cfRule>
  </conditionalFormatting>
  <conditionalFormatting sqref="AC19:AG31">
    <cfRule type="cellIs" dxfId="1121" priority="46" operator="equal">
      <formula>"PASS"</formula>
    </cfRule>
    <cfRule type="cellIs" dxfId="1120" priority="47" operator="equal">
      <formula>"FAIL"</formula>
    </cfRule>
  </conditionalFormatting>
  <conditionalFormatting sqref="AH19:AH31">
    <cfRule type="cellIs" dxfId="1119" priority="44" operator="equal">
      <formula>"PASS"</formula>
    </cfRule>
    <cfRule type="cellIs" dxfId="1118" priority="45" operator="equal">
      <formula>"FAIL"</formula>
    </cfRule>
  </conditionalFormatting>
  <conditionalFormatting sqref="N38:AH40">
    <cfRule type="cellIs" dxfId="1117" priority="42" operator="equal">
      <formula>"PASS"</formula>
    </cfRule>
    <cfRule type="cellIs" dxfId="1116" priority="43" operator="equal">
      <formula>"FAIL"</formula>
    </cfRule>
  </conditionalFormatting>
  <conditionalFormatting sqref="G46:G54 G55:H55">
    <cfRule type="cellIs" dxfId="1115" priority="39" operator="equal">
      <formula>"PASS"</formula>
    </cfRule>
    <cfRule type="cellIs" dxfId="1114" priority="40" operator="equal">
      <formula>"FAIL"</formula>
    </cfRule>
  </conditionalFormatting>
  <conditionalFormatting sqref="G47:G55">
    <cfRule type="cellIs" dxfId="1113" priority="41" operator="lessThan">
      <formula>$AP47</formula>
    </cfRule>
  </conditionalFormatting>
  <conditionalFormatting sqref="AP66:AS67">
    <cfRule type="cellIs" dxfId="1112" priority="27" operator="equal">
      <formula>"PASS"</formula>
    </cfRule>
    <cfRule type="cellIs" dxfId="1111" priority="28" operator="equal">
      <formula>"FAIL"</formula>
    </cfRule>
  </conditionalFormatting>
  <conditionalFormatting sqref="N46:AH46">
    <cfRule type="cellIs" dxfId="1110" priority="37" operator="equal">
      <formula>"PASS"</formula>
    </cfRule>
    <cfRule type="cellIs" dxfId="1109" priority="38" operator="equal">
      <formula>"FAIL"</formula>
    </cfRule>
  </conditionalFormatting>
  <conditionalFormatting sqref="N47:R54">
    <cfRule type="cellIs" dxfId="1108" priority="35" operator="equal">
      <formula>"PASS"</formula>
    </cfRule>
    <cfRule type="cellIs" dxfId="1107" priority="36" operator="equal">
      <formula>"FAIL"</formula>
    </cfRule>
  </conditionalFormatting>
  <conditionalFormatting sqref="S47:W54">
    <cfRule type="cellIs" dxfId="1106" priority="33" operator="equal">
      <formula>"PASS"</formula>
    </cfRule>
    <cfRule type="cellIs" dxfId="1105" priority="34" operator="equal">
      <formula>"FAIL"</formula>
    </cfRule>
  </conditionalFormatting>
  <conditionalFormatting sqref="X47:AB54">
    <cfRule type="cellIs" dxfId="1104" priority="31" operator="equal">
      <formula>"PASS"</formula>
    </cfRule>
    <cfRule type="cellIs" dxfId="1103" priority="32" operator="equal">
      <formula>"FAIL"</formula>
    </cfRule>
  </conditionalFormatting>
  <conditionalFormatting sqref="G66:H67">
    <cfRule type="cellIs" dxfId="1102" priority="29" operator="equal">
      <formula>"PASS"</formula>
    </cfRule>
    <cfRule type="cellIs" dxfId="1101" priority="30" operator="equal">
      <formula>"FAIL"</formula>
    </cfRule>
  </conditionalFormatting>
  <conditionalFormatting sqref="AN66:AO67">
    <cfRule type="cellIs" dxfId="1100" priority="25" operator="equal">
      <formula>"PASS"</formula>
    </cfRule>
    <cfRule type="cellIs" dxfId="1099" priority="26" operator="equal">
      <formula>"FAIL"</formula>
    </cfRule>
  </conditionalFormatting>
  <conditionalFormatting sqref="H61:M63">
    <cfRule type="cellIs" dxfId="1098" priority="23" operator="equal">
      <formula>"PASS"</formula>
    </cfRule>
    <cfRule type="cellIs" dxfId="1097" priority="24" operator="equal">
      <formula>"FAIL"</formula>
    </cfRule>
  </conditionalFormatting>
  <conditionalFormatting sqref="N61:AH63">
    <cfRule type="cellIs" dxfId="1096" priority="21" operator="equal">
      <formula>"PASS"</formula>
    </cfRule>
    <cfRule type="cellIs" dxfId="1095" priority="22" operator="equal">
      <formula>"FAIL"</formula>
    </cfRule>
  </conditionalFormatting>
  <conditionalFormatting sqref="I66:M66">
    <cfRule type="cellIs" dxfId="1094" priority="19" operator="equal">
      <formula>"PASS"</formula>
    </cfRule>
    <cfRule type="cellIs" dxfId="1093" priority="20" operator="equal">
      <formula>"FAIL"</formula>
    </cfRule>
  </conditionalFormatting>
  <conditionalFormatting sqref="N66:AH66">
    <cfRule type="cellIs" dxfId="1092" priority="17" operator="equal">
      <formula>"PASS"</formula>
    </cfRule>
    <cfRule type="cellIs" dxfId="1091" priority="18" operator="equal">
      <formula>"FAIL"</formula>
    </cfRule>
  </conditionalFormatting>
  <conditionalFormatting sqref="AL66:AO67">
    <cfRule type="cellIs" dxfId="1090" priority="15" operator="equal">
      <formula>"PASS"</formula>
    </cfRule>
    <cfRule type="cellIs" dxfId="1089" priority="16" operator="equal">
      <formula>"FAIL"</formula>
    </cfRule>
  </conditionalFormatting>
  <conditionalFormatting sqref="AJ66:AK67">
    <cfRule type="cellIs" dxfId="1088" priority="13" operator="equal">
      <formula>"PASS"</formula>
    </cfRule>
    <cfRule type="cellIs" dxfId="1087" priority="14" operator="equal">
      <formula>"FAIL"</formula>
    </cfRule>
  </conditionalFormatting>
  <conditionalFormatting sqref="I72:M72">
    <cfRule type="cellIs" dxfId="1086" priority="11" operator="equal">
      <formula>"PASS"</formula>
    </cfRule>
    <cfRule type="cellIs" dxfId="1085" priority="12" operator="equal">
      <formula>"FAIL"</formula>
    </cfRule>
  </conditionalFormatting>
  <conditionalFormatting sqref="N72:AH72">
    <cfRule type="cellIs" dxfId="1084" priority="9" operator="equal">
      <formula>"PASS"</formula>
    </cfRule>
    <cfRule type="cellIs" dxfId="1083" priority="10" operator="equal">
      <formula>"FAIL"</formula>
    </cfRule>
  </conditionalFormatting>
  <conditionalFormatting sqref="AJ74:AK80">
    <cfRule type="cellIs" dxfId="1082" priority="7" operator="equal">
      <formula>"PASS"</formula>
    </cfRule>
    <cfRule type="cellIs" dxfId="1081" priority="8" operator="equal">
      <formula>"FAIL"</formula>
    </cfRule>
  </conditionalFormatting>
  <conditionalFormatting sqref="I76:M76">
    <cfRule type="cellIs" dxfId="1080" priority="5" operator="equal">
      <formula>"PASS"</formula>
    </cfRule>
    <cfRule type="cellIs" dxfId="1079" priority="6" operator="equal">
      <formula>"FAIL"</formula>
    </cfRule>
  </conditionalFormatting>
  <conditionalFormatting sqref="N76:AH76">
    <cfRule type="cellIs" dxfId="1078" priority="3" operator="equal">
      <formula>"PASS"</formula>
    </cfRule>
    <cfRule type="cellIs" dxfId="1077" priority="4" operator="equal">
      <formula>"FAIL"</formula>
    </cfRule>
  </conditionalFormatting>
  <conditionalFormatting sqref="F75">
    <cfRule type="cellIs" dxfId="1076" priority="1" operator="equal">
      <formula>"PASS"</formula>
    </cfRule>
    <cfRule type="cellIs" dxfId="1075" priority="2" operator="equal">
      <formula>"FAIL"</formula>
    </cfRule>
  </conditionalFormatting>
  <dataValidations count="5">
    <dataValidation allowBlank="1" showErrorMessage="1" sqref="AP46:AQ46" xr:uid="{61311222-4F7D-B241-89E9-56E80FFDAFB5}"/>
    <dataValidation allowBlank="1" showInputMessage="1" showErrorMessage="1" promptTitle="Pass/Fail" prompt="pass fail only as a total; not on a space-by-space area" sqref="AO46 AS66 AO66" xr:uid="{767A4409-D26C-D14C-B1F8-2C6D57398070}"/>
    <dataValidation type="list" allowBlank="1" showInputMessage="1" showErrorMessage="1" sqref="F67 F77:F79 F47:F54 H77:H79" xr:uid="{FFAF9F22-374C-9145-893A-564122CB66F4}">
      <formula1>"Yes,No,NA"</formula1>
    </dataValidation>
    <dataValidation type="list" allowBlank="1" showInputMessage="1" showErrorMessage="1" sqref="E43:G43" xr:uid="{00761C1E-531D-6744-95B7-D9DD8F62A853}">
      <formula1>"Building Area Method,Space-by-Space Method"</formula1>
    </dataValidation>
    <dataValidation type="list" allowBlank="1" showInputMessage="1" showErrorMessage="1" sqref="D19:D31" xr:uid="{1029A8D4-FB94-5441-BB05-FEBBC59DC4D6}">
      <formula1>"Bathroom,Bedroom,Closet,Dining Room,Family Room,Hall,Kitchen,Living Room,Office,Utility Room,Other"</formula1>
    </dataValidation>
  </dataValidations>
  <pageMargins left="0.7" right="0.7" top="0.75" bottom="0.75" header="0.3" footer="0.3"/>
  <pageSetup orientation="portrait" verticalDpi="1200" r:id="rId1"/>
  <drawing r:id="rId2"/>
  <tableParts count="8">
    <tablePart r:id="rId3"/>
    <tablePart r:id="rId4"/>
    <tablePart r:id="rId5"/>
    <tablePart r:id="rId6"/>
    <tablePart r:id="rId7"/>
    <tablePart r:id="rId8"/>
    <tablePart r:id="rId9"/>
    <tablePart r:id="rId10"/>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7335-0161-554E-AD33-C2BB733BB06D}">
  <sheetPr codeName="Sheet15">
    <tabColor theme="7" tint="0.79998168889431442"/>
    <pageSetUpPr fitToPage="1"/>
  </sheetPr>
  <dimension ref="A1:X27"/>
  <sheetViews>
    <sheetView zoomScaleNormal="100" workbookViewId="0">
      <selection activeCell="B2" sqref="B2"/>
    </sheetView>
  </sheetViews>
  <sheetFormatPr defaultColWidth="9.09765625" defaultRowHeight="13.2" x14ac:dyDescent="0.25"/>
  <cols>
    <col min="1" max="1" width="6.59765625" style="343" customWidth="1"/>
    <col min="2" max="2" width="12.3984375" style="343" customWidth="1"/>
    <col min="3" max="3" width="26.09765625" style="343" bestFit="1" customWidth="1"/>
    <col min="4" max="4" width="10.8984375" style="343" bestFit="1" customWidth="1"/>
    <col min="5" max="5" width="26.59765625" style="343" customWidth="1"/>
    <col min="6" max="6" width="10.09765625" style="343" bestFit="1" customWidth="1"/>
    <col min="7" max="7" width="11.09765625" style="343" customWidth="1"/>
    <col min="8" max="8" width="14.3984375" style="343" customWidth="1"/>
    <col min="9" max="9" width="15.5" style="343" customWidth="1"/>
    <col min="10" max="10" width="9.8984375" style="343" customWidth="1"/>
    <col min="11" max="11" width="16" style="343" customWidth="1"/>
    <col min="12" max="12" width="10.09765625" style="343" bestFit="1" customWidth="1"/>
    <col min="13" max="13" width="14" style="343" customWidth="1"/>
    <col min="14" max="14" width="12.59765625" style="343" customWidth="1"/>
    <col min="15" max="15" width="27.09765625" style="343" bestFit="1" customWidth="1"/>
    <col min="16" max="16" width="2.59765625" style="343" customWidth="1"/>
    <col min="17" max="16384" width="9.09765625" style="343"/>
  </cols>
  <sheetData>
    <row r="1" spans="1:24" ht="13.8" thickBot="1" x14ac:dyDescent="0.3">
      <c r="A1" s="601"/>
      <c r="D1" s="345"/>
    </row>
    <row r="2" spans="1:24" ht="65.25" customHeight="1" thickBot="1" x14ac:dyDescent="0.3">
      <c r="A2" s="601"/>
      <c r="B2" s="837" t="s">
        <v>1062</v>
      </c>
      <c r="C2" s="1786" t="s">
        <v>1394</v>
      </c>
      <c r="D2" s="1786"/>
      <c r="E2" s="1786"/>
      <c r="F2" s="1786"/>
      <c r="G2" s="1786"/>
      <c r="H2" s="1786"/>
      <c r="I2" s="1786"/>
      <c r="J2" s="1786"/>
      <c r="K2" s="1786"/>
      <c r="L2" s="1786"/>
      <c r="M2" s="1786"/>
      <c r="N2" s="1786"/>
      <c r="O2" s="1787"/>
      <c r="P2" s="1032"/>
      <c r="Q2" s="1299"/>
      <c r="R2" s="604"/>
      <c r="S2" s="604"/>
      <c r="T2" s="604"/>
      <c r="U2" s="604"/>
      <c r="V2" s="604"/>
      <c r="W2" s="604"/>
      <c r="X2" s="604"/>
    </row>
    <row r="3" spans="1:24" x14ac:dyDescent="0.25">
      <c r="A3" s="601"/>
      <c r="D3" s="345"/>
      <c r="Q3" s="604"/>
      <c r="R3" s="604"/>
      <c r="S3" s="604"/>
      <c r="T3" s="604"/>
      <c r="U3" s="604"/>
      <c r="V3" s="604"/>
      <c r="W3" s="604"/>
      <c r="X3" s="604"/>
    </row>
    <row r="4" spans="1:24" x14ac:dyDescent="0.25">
      <c r="B4" s="349" t="s">
        <v>1395</v>
      </c>
      <c r="Q4" s="604"/>
      <c r="R4" s="604"/>
      <c r="S4" s="604"/>
      <c r="T4" s="604"/>
      <c r="U4" s="604"/>
      <c r="V4" s="604"/>
      <c r="W4" s="604"/>
      <c r="X4" s="604"/>
    </row>
    <row r="5" spans="1:24" ht="13.8" thickBot="1" x14ac:dyDescent="0.3">
      <c r="B5" s="349"/>
      <c r="Q5" s="604"/>
      <c r="R5" s="604"/>
      <c r="S5" s="604"/>
      <c r="T5" s="604"/>
      <c r="U5" s="604"/>
      <c r="V5" s="604"/>
      <c r="W5" s="604"/>
      <c r="X5" s="604"/>
    </row>
    <row r="6" spans="1:24" ht="42" customHeight="1" thickBot="1" x14ac:dyDescent="0.3">
      <c r="B6" s="837" t="s">
        <v>1062</v>
      </c>
      <c r="C6" s="1705" t="s">
        <v>1396</v>
      </c>
      <c r="D6" s="1705"/>
      <c r="E6" s="1705"/>
      <c r="F6" s="1705"/>
      <c r="G6" s="1705"/>
      <c r="H6" s="1705"/>
      <c r="I6" s="1705"/>
      <c r="J6" s="1705"/>
      <c r="K6" s="1705"/>
      <c r="L6" s="1705"/>
      <c r="M6" s="1705"/>
      <c r="N6" s="1705"/>
      <c r="O6" s="1706"/>
      <c r="P6" s="313"/>
      <c r="Q6" s="603"/>
      <c r="R6" s="603"/>
      <c r="S6" s="603"/>
      <c r="T6" s="603"/>
      <c r="U6" s="603"/>
      <c r="V6" s="603"/>
      <c r="W6" s="604"/>
      <c r="X6" s="604"/>
    </row>
    <row r="7" spans="1:24" ht="12.9" customHeight="1" thickBot="1" x14ac:dyDescent="0.3">
      <c r="B7" s="349"/>
      <c r="Q7" s="603"/>
      <c r="R7" s="603"/>
      <c r="S7" s="603"/>
      <c r="T7" s="603"/>
      <c r="U7" s="603"/>
      <c r="V7" s="603"/>
      <c r="W7" s="604"/>
      <c r="X7" s="604"/>
    </row>
    <row r="8" spans="1:24" s="614" customFormat="1" ht="37.5" customHeight="1" thickBot="1" x14ac:dyDescent="0.35">
      <c r="A8"/>
      <c r="B8" s="1105" t="s">
        <v>1248</v>
      </c>
      <c r="C8" s="1036" t="s">
        <v>1397</v>
      </c>
      <c r="D8" s="1036" t="s">
        <v>1398</v>
      </c>
      <c r="E8" s="1037" t="s">
        <v>1399</v>
      </c>
      <c r="F8" s="1037" t="s">
        <v>1228</v>
      </c>
      <c r="G8" s="1037" t="s">
        <v>1229</v>
      </c>
      <c r="H8" s="1037" t="s">
        <v>1400</v>
      </c>
      <c r="I8" s="1040" t="s">
        <v>1401</v>
      </c>
      <c r="J8" s="1149" t="s">
        <v>554</v>
      </c>
      <c r="K8" s="1149" t="s">
        <v>1105</v>
      </c>
      <c r="L8" s="696" t="s">
        <v>1402</v>
      </c>
      <c r="M8" s="1037" t="s">
        <v>1232</v>
      </c>
      <c r="N8" s="1037" t="s">
        <v>1403</v>
      </c>
      <c r="O8" s="1037" t="s">
        <v>1404</v>
      </c>
      <c r="P8" s="1039"/>
      <c r="Q8" s="1300"/>
      <c r="R8" s="640"/>
      <c r="S8" s="640"/>
      <c r="T8" s="640"/>
      <c r="U8" s="640"/>
      <c r="V8" s="640"/>
      <c r="W8" s="640"/>
      <c r="X8" s="640"/>
    </row>
    <row r="9" spans="1:24" s="614" customFormat="1" ht="23.4" thickBot="1" x14ac:dyDescent="0.35">
      <c r="B9" s="1056"/>
      <c r="C9" s="1057"/>
      <c r="D9" s="1107"/>
      <c r="E9" s="1107"/>
      <c r="F9" s="1058"/>
      <c r="G9" s="1058"/>
      <c r="H9" s="1301"/>
      <c r="I9" s="1302"/>
      <c r="L9" s="1060"/>
      <c r="M9" s="1061"/>
      <c r="N9" s="1061"/>
      <c r="O9" s="1062"/>
      <c r="P9" s="804"/>
      <c r="Q9" s="1904" t="s">
        <v>1158</v>
      </c>
      <c r="R9" s="1905"/>
      <c r="S9" s="1905"/>
      <c r="T9" s="1905"/>
      <c r="U9" s="1905"/>
      <c r="V9" s="1906"/>
      <c r="W9" s="640"/>
      <c r="X9" s="640"/>
    </row>
    <row r="10" spans="1:24" s="614" customFormat="1" ht="22.8" x14ac:dyDescent="0.3">
      <c r="B10" s="1063"/>
      <c r="C10" s="1064"/>
      <c r="D10" s="1110"/>
      <c r="E10" s="1110"/>
      <c r="F10" s="1065"/>
      <c r="G10" s="1065"/>
      <c r="H10" s="1303"/>
      <c r="I10" s="1304"/>
      <c r="L10" s="1067"/>
      <c r="M10" s="1068"/>
      <c r="N10" s="1068"/>
      <c r="O10" s="991"/>
      <c r="P10" s="804"/>
      <c r="Q10" s="1305"/>
      <c r="R10" s="1306"/>
      <c r="S10" s="1306"/>
      <c r="T10" s="1306"/>
      <c r="U10" s="1306"/>
      <c r="V10" s="1307"/>
      <c r="W10" s="640"/>
      <c r="X10" s="640"/>
    </row>
    <row r="11" spans="1:24" s="614" customFormat="1" ht="13.8" thickBot="1" x14ac:dyDescent="0.35">
      <c r="B11" s="1073"/>
      <c r="C11" s="1074"/>
      <c r="D11" s="1111"/>
      <c r="E11" s="1111"/>
      <c r="F11" s="1075"/>
      <c r="G11" s="1075"/>
      <c r="H11" s="1308"/>
      <c r="I11" s="1309"/>
      <c r="L11" s="1077"/>
      <c r="M11" s="1079"/>
      <c r="N11" s="1079"/>
      <c r="O11" s="1080"/>
      <c r="P11" s="804"/>
      <c r="Q11" s="1112"/>
      <c r="R11" s="670"/>
      <c r="S11" s="670"/>
      <c r="T11" s="670"/>
      <c r="U11" s="670"/>
      <c r="V11" s="671"/>
      <c r="W11" s="640"/>
      <c r="X11" s="640"/>
    </row>
    <row r="12" spans="1:24" x14ac:dyDescent="0.25">
      <c r="J12" s="601"/>
      <c r="Q12" s="604"/>
      <c r="R12" s="604"/>
      <c r="S12" s="604"/>
      <c r="T12" s="604"/>
      <c r="U12" s="604"/>
      <c r="V12" s="604"/>
      <c r="W12" s="604"/>
      <c r="X12" s="604"/>
    </row>
    <row r="13" spans="1:24" x14ac:dyDescent="0.25">
      <c r="J13" s="601"/>
      <c r="K13" s="601"/>
      <c r="Q13" s="604"/>
      <c r="R13" s="604"/>
      <c r="S13" s="604"/>
      <c r="T13" s="604"/>
      <c r="U13" s="604"/>
      <c r="V13" s="604"/>
      <c r="W13" s="604"/>
      <c r="X13" s="604"/>
    </row>
    <row r="14" spans="1:24" x14ac:dyDescent="0.25">
      <c r="B14" s="349" t="s">
        <v>1405</v>
      </c>
      <c r="K14" s="601"/>
      <c r="Q14" s="604"/>
      <c r="R14" s="604"/>
      <c r="S14" s="604"/>
      <c r="T14" s="604"/>
      <c r="U14" s="604"/>
      <c r="V14" s="604"/>
      <c r="W14" s="604"/>
      <c r="X14" s="604"/>
    </row>
    <row r="15" spans="1:24" ht="13.8" thickBot="1" x14ac:dyDescent="0.3">
      <c r="B15" s="349"/>
      <c r="Q15" s="604"/>
      <c r="R15" s="604"/>
      <c r="S15" s="604"/>
      <c r="T15" s="604"/>
      <c r="U15" s="604"/>
      <c r="V15" s="604"/>
      <c r="W15" s="604"/>
      <c r="X15" s="604"/>
    </row>
    <row r="16" spans="1:24" ht="45" customHeight="1" thickBot="1" x14ac:dyDescent="0.3">
      <c r="B16" s="837" t="s">
        <v>1062</v>
      </c>
      <c r="C16" s="1705" t="s">
        <v>1406</v>
      </c>
      <c r="D16" s="1705"/>
      <c r="E16" s="1705"/>
      <c r="F16" s="1705"/>
      <c r="G16" s="1705"/>
      <c r="H16" s="1705"/>
      <c r="I16" s="1705"/>
      <c r="J16" s="1705"/>
      <c r="K16" s="1705"/>
      <c r="L16" s="1705"/>
      <c r="M16" s="1705"/>
      <c r="N16" s="1705"/>
      <c r="O16" s="1706"/>
      <c r="P16" s="313"/>
      <c r="Q16" s="603"/>
      <c r="R16" s="603"/>
      <c r="S16" s="603"/>
      <c r="T16" s="603"/>
      <c r="U16" s="603"/>
      <c r="V16" s="603"/>
      <c r="W16" s="604"/>
      <c r="X16" s="604"/>
    </row>
    <row r="17" spans="1:24" ht="12.9" customHeight="1" thickBot="1" x14ac:dyDescent="0.3">
      <c r="B17" s="349"/>
      <c r="Q17" s="603"/>
      <c r="R17" s="603"/>
      <c r="S17" s="603"/>
      <c r="T17" s="603"/>
      <c r="U17" s="603"/>
      <c r="V17" s="603"/>
      <c r="W17" s="604"/>
      <c r="X17" s="604"/>
    </row>
    <row r="18" spans="1:24" s="614" customFormat="1" ht="24.9" customHeight="1" thickBot="1" x14ac:dyDescent="0.35">
      <c r="A18"/>
      <c r="B18" s="1118" t="s">
        <v>1248</v>
      </c>
      <c r="C18" s="1119" t="s">
        <v>1311</v>
      </c>
      <c r="D18" s="1119" t="s">
        <v>1398</v>
      </c>
      <c r="E18" s="612" t="s">
        <v>1228</v>
      </c>
      <c r="F18" s="612" t="s">
        <v>1229</v>
      </c>
      <c r="G18" s="612" t="s">
        <v>1407</v>
      </c>
      <c r="H18" s="612" t="s">
        <v>1332</v>
      </c>
      <c r="I18" s="612" t="s">
        <v>1408</v>
      </c>
      <c r="J18" s="612" t="s">
        <v>1409</v>
      </c>
      <c r="K18" s="612" t="s">
        <v>1410</v>
      </c>
      <c r="L18" s="612" t="s">
        <v>1402</v>
      </c>
      <c r="M18" s="612" t="s">
        <v>1232</v>
      </c>
      <c r="N18" s="612" t="s">
        <v>1403</v>
      </c>
      <c r="O18" s="613" t="s">
        <v>1404</v>
      </c>
      <c r="P18" s="1039"/>
      <c r="Q18" s="1300"/>
      <c r="R18" s="640"/>
      <c r="S18" s="640"/>
      <c r="T18" s="640"/>
      <c r="U18" s="640"/>
      <c r="V18" s="640"/>
      <c r="W18" s="640"/>
      <c r="X18" s="640"/>
    </row>
    <row r="19" spans="1:24" s="614" customFormat="1" ht="23.4" thickBot="1" x14ac:dyDescent="0.35">
      <c r="B19" s="1120"/>
      <c r="C19" s="1121"/>
      <c r="D19" s="1122"/>
      <c r="E19" s="1123"/>
      <c r="F19" s="1123"/>
      <c r="G19" s="1310"/>
      <c r="H19" s="1122"/>
      <c r="I19" s="1122"/>
      <c r="J19" s="1122"/>
      <c r="K19" s="1122"/>
      <c r="L19" s="1123"/>
      <c r="M19" s="889"/>
      <c r="N19" s="1311"/>
      <c r="O19" s="1124"/>
      <c r="P19" s="804"/>
      <c r="Q19" s="1904" t="s">
        <v>1158</v>
      </c>
      <c r="R19" s="1905"/>
      <c r="S19" s="1905"/>
      <c r="T19" s="1905"/>
      <c r="U19" s="1905"/>
      <c r="V19" s="1906"/>
      <c r="W19" s="640"/>
      <c r="X19" s="640"/>
    </row>
    <row r="20" spans="1:24" s="614" customFormat="1" ht="22.8" x14ac:dyDescent="0.3">
      <c r="B20" s="1125"/>
      <c r="C20" s="1126"/>
      <c r="D20" s="1127"/>
      <c r="E20" s="1123"/>
      <c r="F20" s="1123"/>
      <c r="G20" s="1312"/>
      <c r="H20" s="1127"/>
      <c r="I20" s="1127"/>
      <c r="J20" s="1127"/>
      <c r="K20" s="1127"/>
      <c r="L20" s="1128"/>
      <c r="M20" s="896"/>
      <c r="N20" s="1313"/>
      <c r="O20" s="985"/>
      <c r="P20" s="804"/>
      <c r="Q20" s="1305"/>
      <c r="R20" s="1306"/>
      <c r="S20" s="1306"/>
      <c r="T20" s="1306"/>
      <c r="U20" s="1306"/>
      <c r="V20" s="1307"/>
      <c r="W20" s="640"/>
      <c r="X20" s="640"/>
    </row>
    <row r="21" spans="1:24" s="614" customFormat="1" ht="13.8" thickBot="1" x14ac:dyDescent="0.35">
      <c r="B21" s="1129"/>
      <c r="C21" s="1130"/>
      <c r="D21" s="1131"/>
      <c r="E21" s="1123"/>
      <c r="F21" s="1123"/>
      <c r="G21" s="1314"/>
      <c r="H21" s="1131"/>
      <c r="I21" s="1314"/>
      <c r="J21" s="1314"/>
      <c r="K21" s="1131"/>
      <c r="L21" s="1132"/>
      <c r="M21" s="1133"/>
      <c r="N21" s="1068"/>
      <c r="O21" s="991"/>
      <c r="P21" s="804"/>
      <c r="Q21" s="1112"/>
      <c r="R21" s="670"/>
      <c r="S21" s="670"/>
      <c r="T21" s="670"/>
      <c r="U21" s="670"/>
      <c r="V21" s="671"/>
      <c r="W21" s="640"/>
      <c r="X21" s="640"/>
    </row>
    <row r="22" spans="1:24" x14ac:dyDescent="0.25">
      <c r="Q22" s="604"/>
      <c r="R22" s="604"/>
      <c r="S22" s="604"/>
      <c r="T22" s="604"/>
      <c r="U22" s="604"/>
      <c r="V22" s="604"/>
      <c r="W22" s="604"/>
      <c r="X22" s="604"/>
    </row>
    <row r="23" spans="1:24" x14ac:dyDescent="0.25">
      <c r="Q23" s="604"/>
      <c r="R23" s="604"/>
      <c r="S23" s="604"/>
      <c r="T23" s="604"/>
      <c r="U23" s="604"/>
      <c r="V23" s="604"/>
      <c r="W23" s="604"/>
      <c r="X23" s="604"/>
    </row>
    <row r="24" spans="1:24" x14ac:dyDescent="0.25">
      <c r="Q24" s="604"/>
      <c r="R24" s="604"/>
      <c r="S24" s="604"/>
      <c r="T24" s="604"/>
      <c r="U24" s="604"/>
      <c r="V24" s="604"/>
      <c r="W24" s="604"/>
      <c r="X24" s="604"/>
    </row>
    <row r="25" spans="1:24" x14ac:dyDescent="0.25">
      <c r="Q25" s="604"/>
      <c r="R25" s="604"/>
      <c r="S25" s="604"/>
      <c r="T25" s="604"/>
      <c r="U25" s="604"/>
      <c r="V25" s="604"/>
      <c r="W25" s="604"/>
      <c r="X25" s="604"/>
    </row>
    <row r="26" spans="1:24" x14ac:dyDescent="0.25">
      <c r="Q26" s="604"/>
      <c r="R26" s="604"/>
      <c r="S26" s="604"/>
      <c r="T26" s="604"/>
      <c r="U26" s="604"/>
      <c r="V26" s="604"/>
      <c r="W26" s="604"/>
      <c r="X26" s="604"/>
    </row>
    <row r="27" spans="1:24" x14ac:dyDescent="0.25">
      <c r="Q27" s="604"/>
      <c r="R27" s="604"/>
      <c r="S27" s="604"/>
      <c r="T27" s="604"/>
      <c r="U27" s="604"/>
      <c r="V27" s="604"/>
      <c r="W27" s="604"/>
      <c r="X27" s="604"/>
    </row>
  </sheetData>
  <sheetProtection algorithmName="SHA-512" hashValue="9mj4OFq7YxO1dMWmtDFxZBgVoxI7rv+pK5dUdypp1IOKILZZKj+zLikLJqGT6ossvwuQ0hK2+mPCCTg0nOjDLw==" saltValue="jcWMsZG4ez+E9I4Xg7hdmw==" spinCount="100000" sheet="1" formatColumns="0" formatRows="0" insertColumns="0" insertRows="0"/>
  <mergeCells count="5">
    <mergeCell ref="C2:O2"/>
    <mergeCell ref="C6:O6"/>
    <mergeCell ref="Q9:V9"/>
    <mergeCell ref="C16:O16"/>
    <mergeCell ref="Q19:V19"/>
  </mergeCells>
  <conditionalFormatting sqref="A18">
    <cfRule type="cellIs" dxfId="780" priority="1" operator="equal">
      <formula>"PASS"</formula>
    </cfRule>
    <cfRule type="cellIs" dxfId="779" priority="2" operator="equal">
      <formula>"FAIL"</formula>
    </cfRule>
  </conditionalFormatting>
  <conditionalFormatting sqref="A8">
    <cfRule type="cellIs" dxfId="778" priority="3" operator="equal">
      <formula>"PASS"</formula>
    </cfRule>
    <cfRule type="cellIs" dxfId="777" priority="4" operator="equal">
      <formula>"FAIL"</formula>
    </cfRule>
  </conditionalFormatting>
  <pageMargins left="0.7" right="0.7" top="0.75" bottom="0.75" header="0.3" footer="0.3"/>
  <pageSetup scale="54" fitToHeight="0" orientation="landscape" horizontalDpi="1200" verticalDpi="1200"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C8AD-EAB8-2140-AE11-001CDD406515}">
  <sheetPr codeName="Sheet18">
    <tabColor theme="8" tint="0.79998168889431442"/>
  </sheetPr>
  <dimension ref="A1:CO107"/>
  <sheetViews>
    <sheetView zoomScaleNormal="100" workbookViewId="0">
      <selection sqref="A1:I1"/>
    </sheetView>
  </sheetViews>
  <sheetFormatPr defaultColWidth="8.8984375" defaultRowHeight="15.6" x14ac:dyDescent="0.3"/>
  <cols>
    <col min="1" max="1" width="5.59765625" customWidth="1"/>
    <col min="2" max="2" width="10.3984375" bestFit="1" customWidth="1"/>
    <col min="3" max="3" width="56.59765625" bestFit="1" customWidth="1"/>
    <col min="4" max="4" width="46.8984375" bestFit="1" customWidth="1"/>
    <col min="5" max="5" width="42.3984375" bestFit="1" customWidth="1"/>
    <col min="6" max="6" width="2.59765625" customWidth="1"/>
    <col min="7" max="7" width="10.59765625" customWidth="1"/>
    <col min="13" max="13" width="2.59765625" customWidth="1"/>
    <col min="14" max="14" width="40.09765625" bestFit="1" customWidth="1"/>
    <col min="15" max="18" width="5.8984375" customWidth="1"/>
    <col min="19" max="19" width="8.8984375" bestFit="1" customWidth="1"/>
    <col min="20" max="20" width="8.8984375" customWidth="1"/>
    <col min="21" max="21" width="7.09765625" customWidth="1"/>
    <col min="22" max="22" width="5.8984375" customWidth="1"/>
    <col min="23" max="23" width="8.5" customWidth="1"/>
    <col min="24" max="24" width="2.59765625" customWidth="1"/>
    <col min="25" max="25" width="40.09765625" bestFit="1" customWidth="1"/>
    <col min="26" max="29" width="8.3984375" bestFit="1" customWidth="1"/>
    <col min="30" max="30" width="9.8984375" bestFit="1" customWidth="1"/>
    <col min="31" max="34" width="8.3984375" bestFit="1" customWidth="1"/>
    <col min="35" max="35" width="2.59765625" customWidth="1"/>
    <col min="36" max="36" width="40.09765625" bestFit="1" customWidth="1"/>
    <col min="37" max="37" width="56.8984375" bestFit="1" customWidth="1"/>
    <col min="38" max="38" width="2.59765625" customWidth="1"/>
    <col min="39" max="39" width="23.59765625" bestFit="1" customWidth="1"/>
    <col min="40" max="40" width="8.3984375" bestFit="1" customWidth="1"/>
    <col min="41" max="41" width="9.8984375" bestFit="1" customWidth="1"/>
    <col min="42" max="45" width="8.3984375" bestFit="1" customWidth="1"/>
    <col min="49" max="49" width="5.59765625" customWidth="1"/>
    <col min="50" max="50" width="24.59765625" bestFit="1" customWidth="1"/>
    <col min="60" max="60" width="9.09765625" customWidth="1"/>
    <col min="62" max="62" width="36.59765625" bestFit="1" customWidth="1"/>
    <col min="72" max="72" width="5.59765625" customWidth="1"/>
    <col min="73" max="73" width="25.59765625" bestFit="1" customWidth="1"/>
    <col min="83" max="83" width="5.59765625" customWidth="1"/>
    <col min="84" max="84" width="25.3984375" bestFit="1" customWidth="1"/>
  </cols>
  <sheetData>
    <row r="1" spans="1:93" ht="16.2" thickBot="1" x14ac:dyDescent="0.35">
      <c r="A1" s="1945" t="s">
        <v>1411</v>
      </c>
      <c r="B1" s="1946"/>
      <c r="C1" s="1946"/>
      <c r="D1" s="1946"/>
      <c r="E1" s="1946"/>
      <c r="F1" s="1946"/>
      <c r="G1" s="1946"/>
      <c r="H1" s="1946"/>
      <c r="I1" s="1947"/>
    </row>
    <row r="2" spans="1:93" ht="16.2" thickBot="1" x14ac:dyDescent="0.35">
      <c r="B2" s="1948" t="s">
        <v>1412</v>
      </c>
      <c r="C2" s="1936"/>
      <c r="D2" s="1936"/>
      <c r="E2" s="1949"/>
      <c r="G2" s="1948" t="s">
        <v>1413</v>
      </c>
      <c r="H2" s="1936"/>
      <c r="I2" s="1936"/>
      <c r="J2" s="1908"/>
      <c r="K2" s="1908"/>
      <c r="L2" s="1909"/>
      <c r="N2" s="1907" t="s">
        <v>1414</v>
      </c>
      <c r="O2" s="1908"/>
      <c r="P2" s="1908"/>
      <c r="Q2" s="1908"/>
      <c r="R2" s="1908"/>
      <c r="S2" s="1908"/>
      <c r="T2" s="1908"/>
      <c r="U2" s="1908"/>
      <c r="V2" s="1908"/>
      <c r="W2" s="1909"/>
      <c r="Y2" s="1907" t="s">
        <v>1415</v>
      </c>
      <c r="Z2" s="1908"/>
      <c r="AA2" s="1908"/>
      <c r="AB2" s="1908"/>
      <c r="AC2" s="1908"/>
      <c r="AD2" s="1908"/>
      <c r="AE2" s="1908"/>
      <c r="AF2" s="1908"/>
      <c r="AG2" s="1908"/>
      <c r="AH2" s="1909"/>
      <c r="AJ2" s="1907" t="s">
        <v>1416</v>
      </c>
      <c r="AK2" s="1909"/>
      <c r="AM2" s="1907" t="s">
        <v>1417</v>
      </c>
      <c r="AN2" s="1908"/>
      <c r="AO2" s="1908"/>
      <c r="AP2" s="1908"/>
      <c r="AQ2" s="1908"/>
      <c r="AR2" s="1908"/>
      <c r="AS2" s="1908"/>
      <c r="AT2" s="1908"/>
      <c r="AU2" s="1908"/>
      <c r="AV2" s="1909"/>
      <c r="AX2" s="1907" t="s">
        <v>1418</v>
      </c>
      <c r="AY2" s="1908"/>
      <c r="AZ2" s="1908"/>
      <c r="BA2" s="1908"/>
      <c r="BB2" s="1908"/>
      <c r="BC2" s="1908"/>
      <c r="BD2" s="1908"/>
      <c r="BE2" s="1908"/>
      <c r="BF2" s="1908"/>
      <c r="BG2" s="1909"/>
      <c r="BJ2" s="1907" t="s">
        <v>1419</v>
      </c>
      <c r="BK2" s="1908"/>
      <c r="BL2" s="1908"/>
      <c r="BM2" s="1909"/>
    </row>
    <row r="3" spans="1:93" ht="48.6" customHeight="1" thickBot="1" x14ac:dyDescent="0.35">
      <c r="B3" s="1939" t="s">
        <v>1420</v>
      </c>
      <c r="C3" s="1940"/>
      <c r="D3" s="1940"/>
      <c r="E3" s="1941"/>
      <c r="G3" s="1942" t="s">
        <v>1421</v>
      </c>
      <c r="H3" s="1943"/>
      <c r="I3" s="1943"/>
      <c r="J3" s="1943"/>
      <c r="K3" s="1943"/>
      <c r="L3" s="1944"/>
      <c r="N3" s="1910" t="s">
        <v>1422</v>
      </c>
      <c r="O3" s="1911"/>
      <c r="P3" s="1911"/>
      <c r="Q3" s="1911"/>
      <c r="R3" s="1911"/>
      <c r="S3" s="1911"/>
      <c r="T3" s="1911"/>
      <c r="U3" s="1911"/>
      <c r="V3" s="1911"/>
      <c r="W3" s="1912"/>
      <c r="Y3" s="1910" t="s">
        <v>1423</v>
      </c>
      <c r="Z3" s="1911"/>
      <c r="AA3" s="1911"/>
      <c r="AB3" s="1911"/>
      <c r="AC3" s="1911"/>
      <c r="AD3" s="1911"/>
      <c r="AE3" s="1911"/>
      <c r="AF3" s="1911"/>
      <c r="AG3" s="1911"/>
      <c r="AH3" s="1912"/>
      <c r="AJ3" s="1913" t="s">
        <v>1424</v>
      </c>
      <c r="AK3" s="1914"/>
      <c r="AL3" s="1315"/>
      <c r="AM3" s="1913" t="s">
        <v>1425</v>
      </c>
      <c r="AN3" s="1935"/>
      <c r="AO3" s="1935"/>
      <c r="AP3" s="1935"/>
      <c r="AQ3" s="1935"/>
      <c r="AR3" s="1935"/>
      <c r="AS3" s="1935"/>
      <c r="AT3" s="1935"/>
      <c r="AU3" s="1935"/>
      <c r="AV3" s="1914"/>
      <c r="AX3" s="1913" t="s">
        <v>1426</v>
      </c>
      <c r="AY3" s="1935"/>
      <c r="AZ3" s="1935"/>
      <c r="BA3" s="1935"/>
      <c r="BB3" s="1935"/>
      <c r="BC3" s="1935"/>
      <c r="BD3" s="1935"/>
      <c r="BE3" s="1935"/>
      <c r="BF3" s="1935"/>
      <c r="BG3" s="1914"/>
      <c r="BJ3" s="1913" t="s">
        <v>1427</v>
      </c>
      <c r="BK3" s="1935"/>
      <c r="BL3" s="1935"/>
      <c r="BM3" s="1914"/>
      <c r="BN3" s="1315"/>
      <c r="BO3" s="1315"/>
      <c r="BP3" s="1315"/>
      <c r="BQ3" s="1315"/>
      <c r="BR3" s="1315"/>
      <c r="BS3" s="1315"/>
    </row>
    <row r="4" spans="1:93" x14ac:dyDescent="0.3">
      <c r="B4" s="1316" t="s">
        <v>1238</v>
      </c>
      <c r="C4" s="1317" t="s">
        <v>1279</v>
      </c>
      <c r="D4" s="1317" t="s">
        <v>1280</v>
      </c>
      <c r="E4" s="1318" t="s">
        <v>1428</v>
      </c>
      <c r="G4" s="1319"/>
      <c r="H4" s="1950" t="s">
        <v>1429</v>
      </c>
      <c r="I4" s="1950"/>
      <c r="J4" s="1950"/>
      <c r="K4" s="1950"/>
      <c r="L4" s="1951"/>
      <c r="N4" s="1320" t="s">
        <v>510</v>
      </c>
      <c r="O4" s="1321" t="s">
        <v>1430</v>
      </c>
      <c r="P4" s="1322" t="s">
        <v>1431</v>
      </c>
      <c r="Q4" s="1321" t="s">
        <v>1432</v>
      </c>
      <c r="R4" s="1322" t="s">
        <v>1433</v>
      </c>
      <c r="S4" s="1321" t="s">
        <v>1434</v>
      </c>
      <c r="T4" s="1322" t="s">
        <v>1435</v>
      </c>
      <c r="U4" s="1321" t="s">
        <v>1436</v>
      </c>
      <c r="V4" s="1321" t="s">
        <v>1437</v>
      </c>
      <c r="W4" s="1321" t="s">
        <v>1438</v>
      </c>
      <c r="Y4" s="1320" t="s">
        <v>510</v>
      </c>
      <c r="Z4" s="1321" t="s">
        <v>1430</v>
      </c>
      <c r="AA4" s="1322" t="s">
        <v>1431</v>
      </c>
      <c r="AB4" s="1321" t="s">
        <v>1432</v>
      </c>
      <c r="AC4" s="1322" t="s">
        <v>1433</v>
      </c>
      <c r="AD4" s="1321" t="s">
        <v>1434</v>
      </c>
      <c r="AE4" s="1322" t="s">
        <v>1435</v>
      </c>
      <c r="AF4" s="1321" t="s">
        <v>1436</v>
      </c>
      <c r="AG4" s="1321" t="s">
        <v>1437</v>
      </c>
      <c r="AH4" s="1321" t="s">
        <v>1438</v>
      </c>
      <c r="AJ4" s="1320" t="s">
        <v>510</v>
      </c>
      <c r="AK4" s="1321" t="s">
        <v>1439</v>
      </c>
      <c r="AM4" s="1323" t="s">
        <v>510</v>
      </c>
      <c r="AN4" s="1324" t="s">
        <v>1430</v>
      </c>
      <c r="AO4" s="1325" t="s">
        <v>1431</v>
      </c>
      <c r="AP4" s="1324" t="s">
        <v>1432</v>
      </c>
      <c r="AQ4" s="1325" t="s">
        <v>1433</v>
      </c>
      <c r="AR4" s="1324" t="s">
        <v>1434</v>
      </c>
      <c r="AS4" s="1325" t="s">
        <v>1435</v>
      </c>
      <c r="AT4" s="1324" t="s">
        <v>1436</v>
      </c>
      <c r="AU4" s="1324" t="s">
        <v>1437</v>
      </c>
      <c r="AV4" s="1324" t="s">
        <v>1438</v>
      </c>
      <c r="AX4" s="1323" t="s">
        <v>510</v>
      </c>
      <c r="AY4" s="1324" t="s">
        <v>1430</v>
      </c>
      <c r="AZ4" s="1325" t="s">
        <v>1431</v>
      </c>
      <c r="BA4" s="1324" t="s">
        <v>1432</v>
      </c>
      <c r="BB4" s="1325" t="s">
        <v>1433</v>
      </c>
      <c r="BC4" s="1324" t="s">
        <v>1434</v>
      </c>
      <c r="BD4" s="1325" t="s">
        <v>1435</v>
      </c>
      <c r="BE4" s="1324" t="s">
        <v>1436</v>
      </c>
      <c r="BF4" s="1324" t="s">
        <v>1437</v>
      </c>
      <c r="BG4" s="1324" t="s">
        <v>1438</v>
      </c>
      <c r="BJ4" s="1323" t="s">
        <v>510</v>
      </c>
      <c r="BK4" s="1324" t="s">
        <v>1434</v>
      </c>
      <c r="BL4" s="1325" t="s">
        <v>1435</v>
      </c>
      <c r="BM4" s="1324" t="s">
        <v>1436</v>
      </c>
      <c r="BN4" s="1326"/>
      <c r="BO4" s="826"/>
      <c r="BP4" s="1326"/>
      <c r="BQ4" s="826"/>
      <c r="BR4" s="826"/>
      <c r="BS4" s="826"/>
    </row>
    <row r="5" spans="1:93" x14ac:dyDescent="0.3">
      <c r="B5" s="1327" t="s">
        <v>868</v>
      </c>
      <c r="C5" s="1328" t="s">
        <v>1282</v>
      </c>
      <c r="D5" s="1328" t="s">
        <v>1283</v>
      </c>
      <c r="E5" s="1329" t="s">
        <v>1284</v>
      </c>
      <c r="G5" s="1330" t="s">
        <v>1440</v>
      </c>
      <c r="H5" s="1331" t="s">
        <v>1441</v>
      </c>
      <c r="I5" s="1331" t="s">
        <v>1442</v>
      </c>
      <c r="J5" s="1331" t="s">
        <v>1443</v>
      </c>
      <c r="K5" s="1331" t="s">
        <v>1444</v>
      </c>
      <c r="L5" s="1332" t="s">
        <v>1445</v>
      </c>
      <c r="N5" s="1333" t="s">
        <v>1446</v>
      </c>
      <c r="O5" s="1334" t="s">
        <v>1447</v>
      </c>
      <c r="P5" s="1334" t="s">
        <v>1447</v>
      </c>
      <c r="Q5" s="1334" t="s">
        <v>1447</v>
      </c>
      <c r="R5" s="1335" t="s">
        <v>1448</v>
      </c>
      <c r="S5" s="1335" t="s">
        <v>1448</v>
      </c>
      <c r="T5" s="1335" t="s">
        <v>1448</v>
      </c>
      <c r="U5" s="1335" t="s">
        <v>1449</v>
      </c>
      <c r="V5" s="1335" t="s">
        <v>1449</v>
      </c>
      <c r="W5" s="1335" t="s">
        <v>1450</v>
      </c>
      <c r="Y5" s="1333" t="s">
        <v>1446</v>
      </c>
      <c r="Z5" s="1334" t="s">
        <v>1447</v>
      </c>
      <c r="AA5" s="1334" t="s">
        <v>1447</v>
      </c>
      <c r="AB5" s="1334" t="s">
        <v>1447</v>
      </c>
      <c r="AC5" s="1335" t="s">
        <v>1448</v>
      </c>
      <c r="AD5" s="1335" t="s">
        <v>1448</v>
      </c>
      <c r="AE5" s="1335" t="s">
        <v>1448</v>
      </c>
      <c r="AF5" s="1335" t="s">
        <v>1449</v>
      </c>
      <c r="AG5" s="1335" t="s">
        <v>1449</v>
      </c>
      <c r="AH5" s="1335" t="s">
        <v>1450</v>
      </c>
      <c r="AJ5" s="1333" t="s">
        <v>1451</v>
      </c>
      <c r="AK5" s="1335" t="s">
        <v>1452</v>
      </c>
      <c r="AM5" s="1333" t="s">
        <v>1453</v>
      </c>
      <c r="AN5" s="1335">
        <v>0.6</v>
      </c>
      <c r="AO5" s="1335">
        <v>0.6</v>
      </c>
      <c r="AP5" s="1335">
        <v>0.35</v>
      </c>
      <c r="AQ5" s="1335">
        <v>0.32</v>
      </c>
      <c r="AR5" s="1335">
        <v>0.3</v>
      </c>
      <c r="AS5" s="1335">
        <v>0.3</v>
      </c>
      <c r="AT5" s="1335">
        <v>0.3</v>
      </c>
      <c r="AU5" s="1335">
        <v>0.3</v>
      </c>
      <c r="AV5" s="1335">
        <v>0.3</v>
      </c>
      <c r="AX5" s="1333" t="s">
        <v>1453</v>
      </c>
      <c r="AY5" s="1335">
        <v>0.4</v>
      </c>
      <c r="AZ5" s="1335">
        <v>0.4</v>
      </c>
      <c r="BA5" s="1335">
        <v>0.3</v>
      </c>
      <c r="BB5" s="1335">
        <v>0.3</v>
      </c>
      <c r="BC5" s="1335">
        <v>0.27</v>
      </c>
      <c r="BD5" s="1335">
        <v>0.27</v>
      </c>
      <c r="BE5" s="1335">
        <v>0.27</v>
      </c>
      <c r="BF5" s="1335">
        <v>0.27</v>
      </c>
      <c r="BG5" s="1335">
        <v>0.27</v>
      </c>
      <c r="BJ5" s="1333" t="s">
        <v>1453</v>
      </c>
      <c r="BK5" s="1335">
        <v>0.27</v>
      </c>
      <c r="BL5" s="1335">
        <v>0.27</v>
      </c>
      <c r="BM5" s="1335">
        <v>0.27</v>
      </c>
      <c r="BN5" s="1336"/>
      <c r="BO5" s="1336"/>
      <c r="BP5" s="1336"/>
      <c r="BQ5" s="1336"/>
      <c r="BR5" s="1336"/>
      <c r="BS5" s="1336"/>
    </row>
    <row r="6" spans="1:93" x14ac:dyDescent="0.3">
      <c r="B6" s="1327" t="s">
        <v>570</v>
      </c>
      <c r="C6" s="1328" t="s">
        <v>1282</v>
      </c>
      <c r="D6" s="1328" t="s">
        <v>1283</v>
      </c>
      <c r="E6" s="1329" t="s">
        <v>1283</v>
      </c>
      <c r="G6" s="1337" t="s">
        <v>1454</v>
      </c>
      <c r="H6" s="1338">
        <v>45</v>
      </c>
      <c r="I6" s="1338">
        <v>57</v>
      </c>
      <c r="J6" s="1338">
        <v>67.5</v>
      </c>
      <c r="K6" s="1338">
        <v>79.5</v>
      </c>
      <c r="L6" s="1339">
        <v>90</v>
      </c>
      <c r="N6" s="1333" t="s">
        <v>1455</v>
      </c>
      <c r="O6" s="1335">
        <v>0</v>
      </c>
      <c r="P6" s="1335">
        <v>0</v>
      </c>
      <c r="Q6" s="1335">
        <v>0</v>
      </c>
      <c r="R6" s="1335">
        <v>2</v>
      </c>
      <c r="S6" s="1335">
        <v>2</v>
      </c>
      <c r="T6" s="1335">
        <v>2</v>
      </c>
      <c r="U6" s="1335">
        <v>2</v>
      </c>
      <c r="V6" s="1335">
        <v>2</v>
      </c>
      <c r="W6" s="1335">
        <v>2</v>
      </c>
      <c r="Y6" s="1333" t="s">
        <v>1455</v>
      </c>
      <c r="Z6" s="1335">
        <v>0</v>
      </c>
      <c r="AA6" s="1335">
        <v>0</v>
      </c>
      <c r="AB6" s="1335">
        <v>0</v>
      </c>
      <c r="AC6" s="1335">
        <v>2</v>
      </c>
      <c r="AD6" s="1335">
        <v>2</v>
      </c>
      <c r="AE6" s="1335">
        <v>2</v>
      </c>
      <c r="AF6" s="1335">
        <v>2</v>
      </c>
      <c r="AG6" s="1335">
        <v>2</v>
      </c>
      <c r="AH6" s="1335">
        <v>2</v>
      </c>
      <c r="AJ6" s="1333" t="s">
        <v>1456</v>
      </c>
      <c r="AK6" s="1335" t="s">
        <v>1457</v>
      </c>
      <c r="AM6" s="1333" t="s">
        <v>1458</v>
      </c>
      <c r="AN6" s="1335">
        <v>0.27</v>
      </c>
      <c r="AO6" s="1335">
        <v>0.27</v>
      </c>
      <c r="AP6" s="1335">
        <v>0.3</v>
      </c>
      <c r="AQ6" s="1335">
        <v>0.4</v>
      </c>
      <c r="AR6" s="1335" t="s">
        <v>1459</v>
      </c>
      <c r="AS6" s="1335" t="s">
        <v>1459</v>
      </c>
      <c r="AT6" s="1335" t="s">
        <v>1459</v>
      </c>
      <c r="AU6" s="1335" t="s">
        <v>1459</v>
      </c>
      <c r="AV6" s="1335" t="s">
        <v>1459</v>
      </c>
      <c r="AX6" s="1333" t="s">
        <v>1458</v>
      </c>
      <c r="AY6" s="1335">
        <v>0.25</v>
      </c>
      <c r="AZ6" s="1335">
        <v>0.25</v>
      </c>
      <c r="BA6" s="1335">
        <v>0.25</v>
      </c>
      <c r="BB6" s="1335">
        <v>0.4</v>
      </c>
      <c r="BC6" s="1335" t="s">
        <v>1459</v>
      </c>
      <c r="BD6" s="1335" t="s">
        <v>1459</v>
      </c>
      <c r="BE6" s="1335" t="s">
        <v>1459</v>
      </c>
      <c r="BF6" s="1335" t="s">
        <v>1459</v>
      </c>
      <c r="BG6" s="1335" t="s">
        <v>1459</v>
      </c>
      <c r="BJ6" s="1333" t="s">
        <v>1458</v>
      </c>
      <c r="BK6" s="1335">
        <v>0.3</v>
      </c>
      <c r="BL6" s="1335">
        <v>0.3</v>
      </c>
      <c r="BM6" s="1335">
        <v>0.3</v>
      </c>
      <c r="BN6" s="1336"/>
      <c r="BO6" s="1336"/>
      <c r="BP6" s="1336"/>
      <c r="BQ6" s="1336"/>
      <c r="BR6" s="1336"/>
      <c r="BS6" s="1336"/>
    </row>
    <row r="7" spans="1:93" x14ac:dyDescent="0.3">
      <c r="B7" s="1327" t="s">
        <v>574</v>
      </c>
      <c r="C7" s="1328" t="s">
        <v>1285</v>
      </c>
      <c r="D7" s="1328" t="s">
        <v>1284</v>
      </c>
      <c r="E7" s="1329" t="s">
        <v>1284</v>
      </c>
      <c r="G7" s="1337" t="s">
        <v>1460</v>
      </c>
      <c r="H7" s="1338">
        <v>67.5</v>
      </c>
      <c r="I7" s="1338">
        <v>79.5</v>
      </c>
      <c r="J7" s="1338">
        <v>90</v>
      </c>
      <c r="K7" s="1338">
        <v>102</v>
      </c>
      <c r="L7" s="1339">
        <v>112.5</v>
      </c>
      <c r="N7" s="1333" t="s">
        <v>1461</v>
      </c>
      <c r="O7" s="1335">
        <v>0</v>
      </c>
      <c r="P7" s="1335">
        <v>0</v>
      </c>
      <c r="Q7" s="1335">
        <v>0</v>
      </c>
      <c r="R7" s="1335">
        <v>7.5</v>
      </c>
      <c r="S7" s="1335">
        <v>7.5</v>
      </c>
      <c r="T7" s="1335">
        <v>7.5</v>
      </c>
      <c r="U7" s="1335">
        <v>7.5</v>
      </c>
      <c r="V7" s="1335">
        <v>10</v>
      </c>
      <c r="W7" s="1335">
        <v>12.5</v>
      </c>
      <c r="Y7" s="1333" t="s">
        <v>1461</v>
      </c>
      <c r="Z7" s="1335">
        <v>0</v>
      </c>
      <c r="AA7" s="1335">
        <v>0</v>
      </c>
      <c r="AB7" s="1335">
        <v>0</v>
      </c>
      <c r="AC7" s="1335">
        <v>7.5</v>
      </c>
      <c r="AD7" s="1335">
        <v>7.5</v>
      </c>
      <c r="AE7" s="1335">
        <v>7.5</v>
      </c>
      <c r="AF7" s="1335">
        <v>7.5</v>
      </c>
      <c r="AG7" s="1335">
        <v>10</v>
      </c>
      <c r="AH7" s="1335">
        <v>12.5</v>
      </c>
      <c r="AJ7" s="1333" t="s">
        <v>1462</v>
      </c>
      <c r="AK7" s="1335" t="s">
        <v>1463</v>
      </c>
      <c r="AM7" s="1333" t="s">
        <v>1464</v>
      </c>
      <c r="AN7" s="1335">
        <v>0.21</v>
      </c>
      <c r="AO7" s="1335">
        <v>0.21</v>
      </c>
      <c r="AP7" s="1335">
        <v>0.21</v>
      </c>
      <c r="AQ7" s="1335">
        <v>0.21</v>
      </c>
      <c r="AR7" s="1335">
        <v>0.21</v>
      </c>
      <c r="AS7" s="1335">
        <v>0.21</v>
      </c>
      <c r="AT7" s="1335">
        <v>0.21</v>
      </c>
      <c r="AU7" s="1335">
        <v>0.21</v>
      </c>
      <c r="AV7" s="1335">
        <v>0.21</v>
      </c>
      <c r="AX7" s="1333" t="s">
        <v>1464</v>
      </c>
      <c r="AY7" s="1335">
        <v>0.17</v>
      </c>
      <c r="AZ7" s="1335">
        <v>0.17</v>
      </c>
      <c r="BA7" s="1335">
        <v>0.17</v>
      </c>
      <c r="BB7" s="1335">
        <v>0.17</v>
      </c>
      <c r="BC7" s="1335">
        <v>0.17</v>
      </c>
      <c r="BD7" s="1335">
        <v>0.17</v>
      </c>
      <c r="BE7" s="1335">
        <v>0.17</v>
      </c>
      <c r="BF7" s="1335">
        <v>0.17</v>
      </c>
      <c r="BG7" s="1335">
        <v>0.17</v>
      </c>
      <c r="BJ7" s="1333" t="s">
        <v>1464</v>
      </c>
      <c r="BK7" s="1335">
        <v>0.17</v>
      </c>
      <c r="BL7" s="1335">
        <v>0.17</v>
      </c>
      <c r="BM7" s="1335">
        <v>0.17</v>
      </c>
      <c r="BN7" s="1336"/>
      <c r="BO7" s="1336"/>
      <c r="BP7" s="1336"/>
      <c r="BQ7" s="1336"/>
      <c r="BR7" s="1336"/>
      <c r="BS7" s="1336"/>
    </row>
    <row r="8" spans="1:93" x14ac:dyDescent="0.3">
      <c r="B8" s="795" t="s">
        <v>1286</v>
      </c>
      <c r="E8" s="836"/>
      <c r="G8" s="1337" t="s">
        <v>1465</v>
      </c>
      <c r="H8" s="1338">
        <v>90</v>
      </c>
      <c r="I8" s="1338">
        <v>102</v>
      </c>
      <c r="J8" s="1338">
        <v>112.5</v>
      </c>
      <c r="K8" s="1338">
        <v>124.5</v>
      </c>
      <c r="L8" s="1339">
        <v>135</v>
      </c>
      <c r="N8" s="1333" t="s">
        <v>1466</v>
      </c>
      <c r="O8" s="1335">
        <v>0.28199999999999997</v>
      </c>
      <c r="P8" s="1335">
        <v>5.1999999999999998E-2</v>
      </c>
      <c r="Q8" s="1335">
        <v>3.3000000000000002E-2</v>
      </c>
      <c r="R8" s="1335">
        <v>3.3000000000000002E-2</v>
      </c>
      <c r="S8" s="1335">
        <v>3.3000000000000002E-2</v>
      </c>
      <c r="T8" s="1335">
        <v>3.3000000000000002E-2</v>
      </c>
      <c r="U8" s="1335">
        <v>3.3000000000000002E-2</v>
      </c>
      <c r="V8" s="1335">
        <v>3.3000000000000002E-2</v>
      </c>
      <c r="W8" s="1335">
        <v>3.3000000000000002E-2</v>
      </c>
      <c r="Y8" s="1333" t="s">
        <v>1466</v>
      </c>
      <c r="Z8" s="1335">
        <v>6.6000000000000003E-2</v>
      </c>
      <c r="AA8" s="1335">
        <v>3.3000000000000002E-2</v>
      </c>
      <c r="AB8" s="1335">
        <v>3.3000000000000002E-2</v>
      </c>
      <c r="AC8" s="1335">
        <v>3.3000000000000002E-2</v>
      </c>
      <c r="AD8" s="1335">
        <v>3.3000000000000002E-2</v>
      </c>
      <c r="AE8" s="1335">
        <v>3.3000000000000002E-2</v>
      </c>
      <c r="AF8" s="1335">
        <v>3.3000000000000002E-2</v>
      </c>
      <c r="AG8" s="1335">
        <v>3.3000000000000002E-2</v>
      </c>
      <c r="AH8" s="1335">
        <v>3.3000000000000002E-2</v>
      </c>
      <c r="AJ8" s="1333" t="s">
        <v>1467</v>
      </c>
      <c r="AK8" s="1335" t="s">
        <v>1468</v>
      </c>
      <c r="AM8" s="1333" t="s">
        <v>1469</v>
      </c>
      <c r="AN8" s="1335">
        <v>0.27</v>
      </c>
      <c r="AO8" s="1335">
        <v>0.27</v>
      </c>
      <c r="AP8" s="1335">
        <v>0.27</v>
      </c>
      <c r="AQ8" s="1335">
        <v>0.27</v>
      </c>
      <c r="AR8" s="1335">
        <v>0.27</v>
      </c>
      <c r="AS8" s="1335">
        <v>0.27</v>
      </c>
      <c r="AT8" s="1335">
        <v>0.27</v>
      </c>
      <c r="AU8" s="1335">
        <v>0.27</v>
      </c>
      <c r="AV8" s="1335">
        <v>0.27</v>
      </c>
      <c r="AX8" s="1333" t="s">
        <v>1469</v>
      </c>
      <c r="AY8" s="1335">
        <v>0.25</v>
      </c>
      <c r="AZ8" s="1335">
        <v>0.25</v>
      </c>
      <c r="BA8" s="1335">
        <v>0.25</v>
      </c>
      <c r="BB8" s="1335">
        <v>0.25</v>
      </c>
      <c r="BC8" s="1335">
        <v>0.25</v>
      </c>
      <c r="BD8" s="1335">
        <v>0.25</v>
      </c>
      <c r="BE8" s="1335">
        <v>0.25</v>
      </c>
      <c r="BF8" s="1335">
        <v>0.25</v>
      </c>
      <c r="BG8" s="1335">
        <v>0.25</v>
      </c>
      <c r="BJ8" s="1333" t="s">
        <v>1469</v>
      </c>
      <c r="BK8" s="1335">
        <v>0.25</v>
      </c>
      <c r="BL8" s="1335">
        <v>0.25</v>
      </c>
      <c r="BM8" s="1335">
        <v>0.25</v>
      </c>
      <c r="BN8" s="1336"/>
      <c r="BO8" s="1336"/>
      <c r="BP8" s="1336"/>
      <c r="BQ8" s="1336"/>
      <c r="BR8" s="1336"/>
      <c r="BS8" s="1336"/>
    </row>
    <row r="9" spans="1:93" ht="16.2" thickBot="1" x14ac:dyDescent="0.35">
      <c r="B9" s="1952" t="s">
        <v>1470</v>
      </c>
      <c r="C9" s="1953"/>
      <c r="D9" s="1953"/>
      <c r="E9" s="1954"/>
      <c r="G9" s="1337" t="s">
        <v>1471</v>
      </c>
      <c r="H9" s="1338">
        <v>112.5</v>
      </c>
      <c r="I9" s="1338">
        <v>124.5</v>
      </c>
      <c r="J9" s="1338">
        <v>135</v>
      </c>
      <c r="K9" s="1338">
        <v>147</v>
      </c>
      <c r="L9" s="1339">
        <v>157.5</v>
      </c>
      <c r="N9" s="1333" t="s">
        <v>1472</v>
      </c>
      <c r="O9" s="1335">
        <v>8.8999999999999996E-2</v>
      </c>
      <c r="P9" s="1335">
        <v>8.8999999999999996E-2</v>
      </c>
      <c r="Q9" s="1335">
        <v>8.8999999999999996E-2</v>
      </c>
      <c r="R9" s="1335">
        <v>6.4000000000000001E-2</v>
      </c>
      <c r="S9" s="1335">
        <v>6.4000000000000001E-2</v>
      </c>
      <c r="T9" s="1335">
        <v>6.4000000000000001E-2</v>
      </c>
      <c r="U9" s="1335">
        <v>5.0999999999999997E-2</v>
      </c>
      <c r="V9" s="1335">
        <v>5.0999999999999997E-2</v>
      </c>
      <c r="W9" s="1335">
        <v>3.5999999999999997E-2</v>
      </c>
      <c r="Y9" s="1333" t="s">
        <v>1472</v>
      </c>
      <c r="Z9" s="1335">
        <v>6.4000000000000001E-2</v>
      </c>
      <c r="AA9" s="1335">
        <v>6.4000000000000001E-2</v>
      </c>
      <c r="AB9" s="1335">
        <v>6.4000000000000001E-2</v>
      </c>
      <c r="AC9" s="1335">
        <v>6.4000000000000001E-2</v>
      </c>
      <c r="AD9" s="1335">
        <v>6.4000000000000001E-2</v>
      </c>
      <c r="AE9" s="1335">
        <v>6.4000000000000001E-2</v>
      </c>
      <c r="AF9" s="1335">
        <v>5.0999999999999997E-2</v>
      </c>
      <c r="AG9" s="1335">
        <v>5.0999999999999997E-2</v>
      </c>
      <c r="AH9" s="1335">
        <v>3.5999999999999997E-2</v>
      </c>
      <c r="AJ9" s="1333" t="s">
        <v>1473</v>
      </c>
      <c r="AK9" s="1335" t="s">
        <v>1474</v>
      </c>
      <c r="AM9" s="1333" t="s">
        <v>1475</v>
      </c>
      <c r="AN9" s="1335">
        <v>0.32</v>
      </c>
      <c r="AO9" s="1335">
        <v>0.32</v>
      </c>
      <c r="AP9" s="1335">
        <v>0.32</v>
      </c>
      <c r="AQ9" s="1335">
        <v>0.32</v>
      </c>
      <c r="AR9" s="1335">
        <v>0.32</v>
      </c>
      <c r="AS9" s="1335">
        <v>0.32</v>
      </c>
      <c r="AT9" s="1335">
        <v>0.32</v>
      </c>
      <c r="AU9" s="1335">
        <v>0.32</v>
      </c>
      <c r="AV9" s="1335">
        <v>0.32</v>
      </c>
      <c r="AX9" s="1333" t="s">
        <v>1475</v>
      </c>
      <c r="AY9" s="1335">
        <v>0.3</v>
      </c>
      <c r="AZ9" s="1335">
        <v>0.3</v>
      </c>
      <c r="BA9" s="1335">
        <v>0.3</v>
      </c>
      <c r="BB9" s="1335">
        <v>0.3</v>
      </c>
      <c r="BC9" s="1335">
        <v>0.3</v>
      </c>
      <c r="BD9" s="1335">
        <v>0.3</v>
      </c>
      <c r="BE9" s="1335">
        <v>0.3</v>
      </c>
      <c r="BF9" s="1335">
        <v>0.3</v>
      </c>
      <c r="BG9" s="1335">
        <v>0.3</v>
      </c>
      <c r="BJ9" s="1333" t="s">
        <v>1475</v>
      </c>
      <c r="BK9" s="1335">
        <v>0.3</v>
      </c>
      <c r="BL9" s="1335">
        <v>0.3</v>
      </c>
      <c r="BM9" s="1335">
        <v>0.3</v>
      </c>
      <c r="BN9" s="1336"/>
      <c r="BO9" s="1336"/>
      <c r="BP9" s="1336"/>
      <c r="BQ9" s="1336"/>
      <c r="BR9" s="1336"/>
      <c r="BS9" s="1336"/>
    </row>
    <row r="10" spans="1:93" ht="16.2" thickBot="1" x14ac:dyDescent="0.35">
      <c r="B10" s="1495"/>
      <c r="C10" s="1495"/>
      <c r="D10" s="1495"/>
      <c r="E10" s="1495"/>
      <c r="G10" s="1337" t="s">
        <v>1476</v>
      </c>
      <c r="H10" s="1338">
        <v>135</v>
      </c>
      <c r="I10" s="1338">
        <v>147</v>
      </c>
      <c r="J10" s="1338">
        <v>157.5</v>
      </c>
      <c r="K10" s="1338">
        <v>169.5</v>
      </c>
      <c r="L10" s="1339">
        <v>180</v>
      </c>
      <c r="N10" s="1333" t="s">
        <v>1477</v>
      </c>
      <c r="O10" s="1335">
        <v>2.7E-2</v>
      </c>
      <c r="P10" s="1335">
        <v>2.7E-2</v>
      </c>
      <c r="Q10" s="1335">
        <v>2.7E-2</v>
      </c>
      <c r="R10" s="1335">
        <v>2.7E-2</v>
      </c>
      <c r="S10" s="1335">
        <v>2.7E-2</v>
      </c>
      <c r="T10" s="1335">
        <v>2.7E-2</v>
      </c>
      <c r="U10" s="1335">
        <v>2.7E-2</v>
      </c>
      <c r="V10" s="1335">
        <v>2.7E-2</v>
      </c>
      <c r="W10" s="1335">
        <v>2.7E-2</v>
      </c>
      <c r="Y10" s="1333" t="s">
        <v>1477</v>
      </c>
      <c r="Z10" s="1335">
        <v>2.7E-2</v>
      </c>
      <c r="AA10" s="1335">
        <v>2.7E-2</v>
      </c>
      <c r="AB10" s="1335">
        <v>2.7E-2</v>
      </c>
      <c r="AC10" s="1335">
        <v>2.7E-2</v>
      </c>
      <c r="AD10" s="1335">
        <v>2.1000000000000001E-2</v>
      </c>
      <c r="AE10" s="1335">
        <v>2.1000000000000001E-2</v>
      </c>
      <c r="AF10" s="1335">
        <v>2.1000000000000001E-2</v>
      </c>
      <c r="AG10" s="1335">
        <v>2.1000000000000001E-2</v>
      </c>
      <c r="AH10" s="1335">
        <v>2.1000000000000001E-2</v>
      </c>
      <c r="AM10" s="1333" t="s">
        <v>1478</v>
      </c>
      <c r="AN10" s="1335" t="s">
        <v>1459</v>
      </c>
      <c r="AO10" s="1335" t="s">
        <v>1459</v>
      </c>
      <c r="AP10" s="1335" t="s">
        <v>1459</v>
      </c>
      <c r="AQ10" s="1335" t="s">
        <v>1459</v>
      </c>
      <c r="AR10" s="1335" t="s">
        <v>1459</v>
      </c>
      <c r="AS10" s="1335" t="s">
        <v>1459</v>
      </c>
      <c r="AT10" s="1335" t="s">
        <v>1459</v>
      </c>
      <c r="AU10" s="1335" t="s">
        <v>1459</v>
      </c>
      <c r="AV10" s="1335" t="s">
        <v>1459</v>
      </c>
      <c r="AX10" s="1333" t="s">
        <v>1478</v>
      </c>
      <c r="AY10" s="1335" t="s">
        <v>1459</v>
      </c>
      <c r="AZ10" s="1335" t="s">
        <v>1459</v>
      </c>
      <c r="BA10" s="1335" t="s">
        <v>1459</v>
      </c>
      <c r="BB10" s="1335" t="s">
        <v>1459</v>
      </c>
      <c r="BC10" s="1335" t="s">
        <v>1459</v>
      </c>
      <c r="BD10" s="1335" t="s">
        <v>1459</v>
      </c>
      <c r="BE10" s="1335" t="s">
        <v>1459</v>
      </c>
      <c r="BF10" s="1335" t="s">
        <v>1459</v>
      </c>
      <c r="BG10" s="1335" t="s">
        <v>1459</v>
      </c>
      <c r="BJ10" s="1333" t="s">
        <v>1478</v>
      </c>
      <c r="BK10" s="1335" t="s">
        <v>1459</v>
      </c>
      <c r="BL10" s="1335" t="s">
        <v>1459</v>
      </c>
      <c r="BM10" s="1335" t="s">
        <v>1459</v>
      </c>
      <c r="BN10" s="1336"/>
      <c r="BO10" s="1336"/>
      <c r="BP10" s="1336"/>
      <c r="BQ10" s="1336"/>
      <c r="BR10" s="1336"/>
      <c r="BS10" s="1336"/>
    </row>
    <row r="11" spans="1:93" ht="16.2" thickBot="1" x14ac:dyDescent="0.35">
      <c r="C11" s="1907" t="s">
        <v>1479</v>
      </c>
      <c r="D11" s="1909"/>
      <c r="G11" s="1337" t="s">
        <v>1480</v>
      </c>
      <c r="H11" s="1338">
        <v>157.5</v>
      </c>
      <c r="I11" s="1338">
        <v>169.5</v>
      </c>
      <c r="J11" s="1338">
        <v>180</v>
      </c>
      <c r="K11" s="1338">
        <v>192</v>
      </c>
      <c r="L11" s="1339">
        <v>202.5</v>
      </c>
      <c r="Y11" s="796"/>
      <c r="AJ11" s="796"/>
      <c r="AM11" s="1333" t="s">
        <v>1481</v>
      </c>
      <c r="AN11" s="1344">
        <v>0.3</v>
      </c>
      <c r="AO11" s="1344">
        <v>0.3</v>
      </c>
      <c r="AP11" s="1344">
        <v>0.3</v>
      </c>
      <c r="AQ11" s="1344">
        <v>0.3</v>
      </c>
      <c r="AR11" s="1344">
        <v>0.3</v>
      </c>
      <c r="AS11" s="1344">
        <v>0.3</v>
      </c>
      <c r="AT11" s="1344">
        <v>0.3</v>
      </c>
      <c r="AU11" s="1344">
        <v>0.3</v>
      </c>
      <c r="AV11" s="1344">
        <v>0.3</v>
      </c>
      <c r="AX11" s="1333" t="s">
        <v>1481</v>
      </c>
      <c r="AY11" s="1344">
        <v>0.25</v>
      </c>
      <c r="AZ11" s="1344">
        <v>0.25</v>
      </c>
      <c r="BA11" s="1344">
        <v>0.25</v>
      </c>
      <c r="BB11" s="1344">
        <v>0.25</v>
      </c>
      <c r="BC11" s="1344">
        <v>0.25</v>
      </c>
      <c r="BD11" s="1344">
        <v>0.25</v>
      </c>
      <c r="BE11" s="1344">
        <v>0.25</v>
      </c>
      <c r="BF11" s="1344">
        <v>0.25</v>
      </c>
      <c r="BG11" s="1344">
        <v>0.25</v>
      </c>
      <c r="BJ11" s="1333" t="s">
        <v>1481</v>
      </c>
      <c r="BK11" s="1344">
        <v>0.25</v>
      </c>
      <c r="BL11" s="1344">
        <v>0.25</v>
      </c>
      <c r="BM11" s="1344">
        <v>0.25</v>
      </c>
      <c r="BN11" s="1345"/>
      <c r="BO11" s="1345"/>
      <c r="BP11" s="1345"/>
      <c r="BQ11" s="1345"/>
      <c r="BR11" s="1345"/>
      <c r="BS11" s="1345"/>
    </row>
    <row r="12" spans="1:93" ht="16.2" thickBot="1" x14ac:dyDescent="0.35">
      <c r="C12" s="1937" t="s">
        <v>1482</v>
      </c>
      <c r="D12" s="1938"/>
      <c r="E12" s="796"/>
      <c r="G12" s="1337" t="s">
        <v>1483</v>
      </c>
      <c r="H12" s="1338">
        <v>180</v>
      </c>
      <c r="I12" s="1338">
        <v>192</v>
      </c>
      <c r="J12" s="1338">
        <v>202.5</v>
      </c>
      <c r="K12" s="1338">
        <v>214.5</v>
      </c>
      <c r="L12" s="1339">
        <v>225</v>
      </c>
      <c r="R12" s="796"/>
      <c r="S12" s="796"/>
      <c r="Y12" s="796"/>
      <c r="AM12" s="1333" t="s">
        <v>1484</v>
      </c>
      <c r="AN12" s="1344">
        <v>0.3</v>
      </c>
      <c r="AO12" s="1344">
        <v>0.3</v>
      </c>
      <c r="AP12" s="1344">
        <v>0.3</v>
      </c>
      <c r="AQ12" s="1344">
        <v>0.3</v>
      </c>
      <c r="AR12" s="1344">
        <v>0.3</v>
      </c>
      <c r="AS12" s="1344">
        <v>0.3</v>
      </c>
      <c r="AT12" s="1344">
        <v>0.3</v>
      </c>
      <c r="AU12" s="1344">
        <v>0.3</v>
      </c>
      <c r="AV12" s="1344">
        <v>0.3</v>
      </c>
      <c r="AX12" s="1333" t="s">
        <v>1484</v>
      </c>
      <c r="AY12" s="1344">
        <v>0.25</v>
      </c>
      <c r="AZ12" s="1344">
        <v>0.25</v>
      </c>
      <c r="BA12" s="1344">
        <v>0.25</v>
      </c>
      <c r="BB12" s="1344">
        <v>0.4</v>
      </c>
      <c r="BC12" s="1344">
        <v>0.4</v>
      </c>
      <c r="BD12" s="1344">
        <v>0.4</v>
      </c>
      <c r="BE12" s="1344">
        <v>0.4</v>
      </c>
      <c r="BF12" s="1344">
        <v>0.4</v>
      </c>
      <c r="BG12" s="1344">
        <v>0.4</v>
      </c>
      <c r="BJ12" s="1333" t="s">
        <v>1484</v>
      </c>
      <c r="BK12" s="1344">
        <v>0.3</v>
      </c>
      <c r="BL12" s="1344">
        <v>0.3</v>
      </c>
      <c r="BM12" s="1344">
        <v>0.3</v>
      </c>
      <c r="BN12" s="1345"/>
      <c r="BO12" s="1345"/>
      <c r="BP12" s="1345"/>
      <c r="BQ12" s="1345"/>
      <c r="BR12" s="1345"/>
      <c r="BS12" s="1345"/>
    </row>
    <row r="13" spans="1:93" ht="15.9" customHeight="1" thickBot="1" x14ac:dyDescent="0.35">
      <c r="C13" s="1317" t="s">
        <v>1485</v>
      </c>
      <c r="D13" s="1317" t="s">
        <v>1486</v>
      </c>
      <c r="E13" s="796"/>
      <c r="G13" s="1337" t="s">
        <v>1487</v>
      </c>
      <c r="H13" s="1338">
        <v>202.5</v>
      </c>
      <c r="I13" s="1338">
        <v>214.5</v>
      </c>
      <c r="J13" s="1338">
        <v>225</v>
      </c>
      <c r="K13" s="1338">
        <v>237</v>
      </c>
      <c r="L13" s="1339">
        <v>247.5</v>
      </c>
      <c r="N13" s="1907" t="s">
        <v>1488</v>
      </c>
      <c r="O13" s="1908"/>
      <c r="P13" s="1908"/>
      <c r="Q13" s="1908"/>
      <c r="R13" s="1908"/>
      <c r="S13" s="1908"/>
      <c r="T13" s="1908"/>
      <c r="U13" s="1908"/>
      <c r="V13" s="1908"/>
      <c r="W13" s="1909"/>
      <c r="Y13" s="1907" t="s">
        <v>1489</v>
      </c>
      <c r="Z13" s="1908"/>
      <c r="AA13" s="1908"/>
      <c r="AB13" s="1908"/>
      <c r="AC13" s="1908"/>
      <c r="AD13" s="1908"/>
      <c r="AE13" s="1908"/>
      <c r="AF13" s="1908"/>
      <c r="AG13" s="1908"/>
      <c r="AH13" s="1909"/>
      <c r="AM13" s="1346"/>
      <c r="AN13" s="1336"/>
      <c r="AO13" s="1336"/>
      <c r="AP13" s="1336"/>
      <c r="AQ13" s="1336"/>
      <c r="AR13" s="1336"/>
      <c r="AS13" s="1336"/>
      <c r="AT13" s="1336"/>
      <c r="AU13" s="1336"/>
      <c r="AV13" s="1336"/>
      <c r="AX13" s="1346"/>
      <c r="AY13" s="1336"/>
      <c r="AZ13" s="1336"/>
      <c r="BA13" s="1336"/>
      <c r="BB13" s="1336"/>
      <c r="BC13" s="1336"/>
      <c r="BD13" s="1336"/>
      <c r="BE13" s="1336"/>
      <c r="BF13" s="1336"/>
      <c r="BG13" s="1336"/>
      <c r="BJ13" s="1907" t="s">
        <v>1490</v>
      </c>
      <c r="BK13" s="1908"/>
      <c r="BL13" s="1908"/>
      <c r="BM13" s="1908"/>
      <c r="BN13" s="1908"/>
      <c r="BO13" s="1908"/>
      <c r="BP13" s="1908"/>
      <c r="BQ13" s="1908"/>
      <c r="BR13" s="1908"/>
      <c r="BS13" s="1909"/>
      <c r="BU13" s="1907" t="s">
        <v>1491</v>
      </c>
      <c r="BV13" s="1908"/>
      <c r="BW13" s="1908"/>
      <c r="BX13" s="1908"/>
      <c r="BY13" s="1908"/>
      <c r="BZ13" s="1908"/>
      <c r="CA13" s="1908"/>
      <c r="CB13" s="1908"/>
      <c r="CC13" s="1908"/>
      <c r="CD13" s="1909"/>
      <c r="CF13" s="1907" t="s">
        <v>1492</v>
      </c>
      <c r="CG13" s="1908"/>
      <c r="CH13" s="1908"/>
      <c r="CI13" s="1908"/>
      <c r="CJ13" s="1908"/>
      <c r="CK13" s="1908"/>
      <c r="CL13" s="1908"/>
      <c r="CM13" s="1908"/>
      <c r="CN13" s="1908"/>
      <c r="CO13" s="1909"/>
    </row>
    <row r="14" spans="1:93" ht="16.2" thickBot="1" x14ac:dyDescent="0.35">
      <c r="C14" s="1328" t="s">
        <v>1493</v>
      </c>
      <c r="D14" s="1328">
        <v>1.3</v>
      </c>
      <c r="E14" s="796"/>
      <c r="G14" s="1337" t="s">
        <v>1494</v>
      </c>
      <c r="H14" s="1338">
        <v>225</v>
      </c>
      <c r="I14" s="1338">
        <v>237</v>
      </c>
      <c r="J14" s="1338">
        <v>247.5</v>
      </c>
      <c r="K14" s="1338">
        <v>259.5</v>
      </c>
      <c r="L14" s="1339">
        <v>270</v>
      </c>
      <c r="N14" s="1915" t="s">
        <v>1495</v>
      </c>
      <c r="O14" s="1916"/>
      <c r="P14" s="1916"/>
      <c r="Q14" s="1916"/>
      <c r="R14" s="1916"/>
      <c r="S14" s="1916"/>
      <c r="T14" s="1916"/>
      <c r="U14" s="1916"/>
      <c r="V14" s="1916"/>
      <c r="W14" s="1917"/>
      <c r="Y14" s="1915" t="s">
        <v>1496</v>
      </c>
      <c r="Z14" s="1916"/>
      <c r="AA14" s="1916"/>
      <c r="AB14" s="1916"/>
      <c r="AC14" s="1916"/>
      <c r="AD14" s="1916"/>
      <c r="AE14" s="1916"/>
      <c r="AF14" s="1916"/>
      <c r="AG14" s="1916"/>
      <c r="AH14" s="1917"/>
      <c r="AM14" s="1907" t="s">
        <v>1497</v>
      </c>
      <c r="AN14" s="1908"/>
      <c r="AO14" s="1908"/>
      <c r="AP14" s="1908"/>
      <c r="AQ14" s="1908"/>
      <c r="AR14" s="1908"/>
      <c r="AS14" s="1908"/>
      <c r="AT14" s="1908"/>
      <c r="AU14" s="1908"/>
      <c r="AV14" s="1909"/>
      <c r="AX14" s="1907" t="s">
        <v>1498</v>
      </c>
      <c r="AY14" s="1908"/>
      <c r="AZ14" s="1908"/>
      <c r="BA14" s="1908"/>
      <c r="BB14" s="1908"/>
      <c r="BC14" s="1908"/>
      <c r="BD14" s="1908"/>
      <c r="BE14" s="1908"/>
      <c r="BF14" s="1908"/>
      <c r="BG14" s="1909"/>
      <c r="BJ14" s="1915" t="s">
        <v>1499</v>
      </c>
      <c r="BK14" s="1916"/>
      <c r="BL14" s="1916"/>
      <c r="BM14" s="1916"/>
      <c r="BN14" s="1916"/>
      <c r="BO14" s="1916"/>
      <c r="BP14" s="1916"/>
      <c r="BQ14" s="1916"/>
      <c r="BR14" s="1916"/>
      <c r="BS14" s="1917"/>
      <c r="BU14" s="1915" t="s">
        <v>1500</v>
      </c>
      <c r="BV14" s="1916"/>
      <c r="BW14" s="1916"/>
      <c r="BX14" s="1916"/>
      <c r="BY14" s="1916"/>
      <c r="BZ14" s="1916"/>
      <c r="CA14" s="1916"/>
      <c r="CB14" s="1916"/>
      <c r="CC14" s="1916"/>
      <c r="CD14" s="1917"/>
      <c r="CF14" s="1915" t="s">
        <v>1501</v>
      </c>
      <c r="CG14" s="1916"/>
      <c r="CH14" s="1916"/>
      <c r="CI14" s="1916"/>
      <c r="CJ14" s="1916"/>
      <c r="CK14" s="1916"/>
      <c r="CL14" s="1916"/>
      <c r="CM14" s="1916"/>
      <c r="CN14" s="1916"/>
      <c r="CO14" s="1917"/>
    </row>
    <row r="15" spans="1:93" ht="16.2" thickBot="1" x14ac:dyDescent="0.35">
      <c r="C15" s="1328" t="s">
        <v>1502</v>
      </c>
      <c r="D15" s="1328">
        <v>0.8</v>
      </c>
      <c r="G15" s="1347" t="s">
        <v>1503</v>
      </c>
      <c r="H15" s="1348">
        <v>247.5</v>
      </c>
      <c r="I15" s="1348">
        <v>259.5</v>
      </c>
      <c r="J15" s="1348">
        <v>270</v>
      </c>
      <c r="K15" s="1348">
        <v>282</v>
      </c>
      <c r="L15" s="1349">
        <v>292.5</v>
      </c>
      <c r="N15" s="1323" t="s">
        <v>510</v>
      </c>
      <c r="O15" s="1324" t="s">
        <v>1430</v>
      </c>
      <c r="P15" s="1325" t="s">
        <v>1431</v>
      </c>
      <c r="Q15" s="1324" t="s">
        <v>1432</v>
      </c>
      <c r="R15" s="1325" t="s">
        <v>1433</v>
      </c>
      <c r="S15" s="1324" t="s">
        <v>1434</v>
      </c>
      <c r="T15" s="1325" t="s">
        <v>1435</v>
      </c>
      <c r="U15" s="1324" t="s">
        <v>1436</v>
      </c>
      <c r="V15" s="1324" t="s">
        <v>1437</v>
      </c>
      <c r="W15" s="1324" t="s">
        <v>1438</v>
      </c>
      <c r="Y15" s="1323" t="s">
        <v>510</v>
      </c>
      <c r="Z15" s="1324" t="s">
        <v>1430</v>
      </c>
      <c r="AA15" s="1325" t="s">
        <v>1431</v>
      </c>
      <c r="AB15" s="1324" t="s">
        <v>1432</v>
      </c>
      <c r="AC15" s="1325" t="s">
        <v>1433</v>
      </c>
      <c r="AD15" s="1324" t="s">
        <v>1434</v>
      </c>
      <c r="AE15" s="1325" t="s">
        <v>1435</v>
      </c>
      <c r="AF15" s="1324" t="s">
        <v>1436</v>
      </c>
      <c r="AG15" s="1324" t="s">
        <v>1437</v>
      </c>
      <c r="AH15" s="1324" t="s">
        <v>1438</v>
      </c>
      <c r="AM15" s="1910" t="s">
        <v>1504</v>
      </c>
      <c r="AN15" s="1911"/>
      <c r="AO15" s="1911"/>
      <c r="AP15" s="1911"/>
      <c r="AQ15" s="1911"/>
      <c r="AR15" s="1911"/>
      <c r="AS15" s="1911"/>
      <c r="AT15" s="1911"/>
      <c r="AU15" s="1911"/>
      <c r="AV15" s="1912"/>
      <c r="AX15" s="1910" t="s">
        <v>1505</v>
      </c>
      <c r="AY15" s="1911"/>
      <c r="AZ15" s="1911"/>
      <c r="BA15" s="1911"/>
      <c r="BB15" s="1911"/>
      <c r="BC15" s="1911"/>
      <c r="BD15" s="1911"/>
      <c r="BE15" s="1911"/>
      <c r="BF15" s="1911"/>
      <c r="BG15" s="1912"/>
      <c r="BJ15" s="1323" t="s">
        <v>510</v>
      </c>
      <c r="BK15" s="1324" t="s">
        <v>1430</v>
      </c>
      <c r="BL15" s="1325" t="s">
        <v>1431</v>
      </c>
      <c r="BM15" s="1324" t="s">
        <v>1432</v>
      </c>
      <c r="BN15" s="1325" t="s">
        <v>1433</v>
      </c>
      <c r="BO15" s="1324" t="s">
        <v>1434</v>
      </c>
      <c r="BP15" s="1325" t="s">
        <v>1435</v>
      </c>
      <c r="BQ15" s="1324" t="s">
        <v>1436</v>
      </c>
      <c r="BR15" s="1324" t="s">
        <v>1437</v>
      </c>
      <c r="BS15" s="1324" t="s">
        <v>1438</v>
      </c>
      <c r="BU15" s="1323" t="s">
        <v>510</v>
      </c>
      <c r="BV15" s="1324" t="s">
        <v>1430</v>
      </c>
      <c r="BW15" s="1325" t="s">
        <v>1431</v>
      </c>
      <c r="BX15" s="1324" t="s">
        <v>1432</v>
      </c>
      <c r="BY15" s="1325" t="s">
        <v>1433</v>
      </c>
      <c r="BZ15" s="1324" t="s">
        <v>1434</v>
      </c>
      <c r="CA15" s="1325" t="s">
        <v>1435</v>
      </c>
      <c r="CB15" s="1324" t="s">
        <v>1436</v>
      </c>
      <c r="CC15" s="1324" t="s">
        <v>1437</v>
      </c>
      <c r="CD15" s="1324" t="s">
        <v>1438</v>
      </c>
      <c r="CF15" s="1323" t="s">
        <v>510</v>
      </c>
      <c r="CG15" s="1324" t="s">
        <v>1430</v>
      </c>
      <c r="CH15" s="1325" t="s">
        <v>1431</v>
      </c>
      <c r="CI15" s="1324" t="s">
        <v>1432</v>
      </c>
      <c r="CJ15" s="1325" t="s">
        <v>1433</v>
      </c>
      <c r="CK15" s="1324" t="s">
        <v>1434</v>
      </c>
      <c r="CL15" s="1325" t="s">
        <v>1435</v>
      </c>
      <c r="CM15" s="1324" t="s">
        <v>1436</v>
      </c>
      <c r="CN15" s="1324" t="s">
        <v>1437</v>
      </c>
      <c r="CO15" s="1324" t="s">
        <v>1438</v>
      </c>
    </row>
    <row r="16" spans="1:93" x14ac:dyDescent="0.3">
      <c r="C16" s="1328" t="s">
        <v>1506</v>
      </c>
      <c r="D16" s="1328">
        <v>0.3</v>
      </c>
      <c r="N16" s="1350" t="s">
        <v>1507</v>
      </c>
      <c r="O16" s="1334" t="s">
        <v>1508</v>
      </c>
      <c r="P16" s="1334" t="s">
        <v>1508</v>
      </c>
      <c r="Q16" s="1334" t="s">
        <v>1508</v>
      </c>
      <c r="R16" s="1334" t="s">
        <v>1508</v>
      </c>
      <c r="S16" s="1334" t="s">
        <v>1508</v>
      </c>
      <c r="T16" s="1334" t="s">
        <v>1508</v>
      </c>
      <c r="U16" s="1334" t="s">
        <v>1508</v>
      </c>
      <c r="V16" s="1334" t="s">
        <v>1508</v>
      </c>
      <c r="W16" s="1334" t="s">
        <v>1508</v>
      </c>
      <c r="Y16" s="1350" t="s">
        <v>1507</v>
      </c>
      <c r="Z16" s="1334" t="s">
        <v>1508</v>
      </c>
      <c r="AA16" s="1334" t="s">
        <v>1508</v>
      </c>
      <c r="AB16" s="1334" t="s">
        <v>1508</v>
      </c>
      <c r="AC16" s="1334" t="s">
        <v>1508</v>
      </c>
      <c r="AD16" s="1334" t="s">
        <v>1509</v>
      </c>
      <c r="AE16" s="1334" t="s">
        <v>1509</v>
      </c>
      <c r="AF16" s="1334" t="s">
        <v>1509</v>
      </c>
      <c r="AG16" s="1334" t="s">
        <v>1509</v>
      </c>
      <c r="AH16" s="1334" t="s">
        <v>1509</v>
      </c>
      <c r="AK16" s="796"/>
      <c r="AM16" s="1323" t="s">
        <v>510</v>
      </c>
      <c r="AN16" s="1324" t="s">
        <v>1430</v>
      </c>
      <c r="AO16" s="1325" t="s">
        <v>1431</v>
      </c>
      <c r="AP16" s="1324" t="s">
        <v>1432</v>
      </c>
      <c r="AQ16" s="1325" t="s">
        <v>1433</v>
      </c>
      <c r="AR16" s="1324" t="s">
        <v>1434</v>
      </c>
      <c r="AS16" s="1325" t="s">
        <v>1435</v>
      </c>
      <c r="AT16" s="1324" t="s">
        <v>1436</v>
      </c>
      <c r="AU16" s="1324" t="s">
        <v>1437</v>
      </c>
      <c r="AV16" s="1324" t="s">
        <v>1438</v>
      </c>
      <c r="AX16" s="1323" t="s">
        <v>510</v>
      </c>
      <c r="AY16" s="1324" t="s">
        <v>1430</v>
      </c>
      <c r="AZ16" s="1325" t="s">
        <v>1431</v>
      </c>
      <c r="BA16" s="1324" t="s">
        <v>1432</v>
      </c>
      <c r="BB16" s="1325" t="s">
        <v>1433</v>
      </c>
      <c r="BC16" s="1324" t="s">
        <v>1434</v>
      </c>
      <c r="BD16" s="1325" t="s">
        <v>1435</v>
      </c>
      <c r="BE16" s="1324" t="s">
        <v>1436</v>
      </c>
      <c r="BF16" s="1324" t="s">
        <v>1437</v>
      </c>
      <c r="BG16" s="1324" t="s">
        <v>1438</v>
      </c>
      <c r="BJ16" s="1350" t="s">
        <v>1507</v>
      </c>
      <c r="BK16" s="1334" t="s">
        <v>1510</v>
      </c>
      <c r="BL16" s="1334" t="s">
        <v>1510</v>
      </c>
      <c r="BM16" s="1334" t="s">
        <v>1510</v>
      </c>
      <c r="BN16" s="1334" t="s">
        <v>1510</v>
      </c>
      <c r="BO16" s="1334" t="s">
        <v>1510</v>
      </c>
      <c r="BP16" s="1334" t="s">
        <v>1510</v>
      </c>
      <c r="BQ16" s="1334" t="s">
        <v>1510</v>
      </c>
      <c r="BR16" s="1334" t="s">
        <v>1511</v>
      </c>
      <c r="BS16" s="1334" t="s">
        <v>1511</v>
      </c>
      <c r="BU16" s="1350" t="s">
        <v>1507</v>
      </c>
      <c r="BV16" s="1334" t="s">
        <v>1512</v>
      </c>
      <c r="BW16" s="1334" t="s">
        <v>1510</v>
      </c>
      <c r="BX16" s="1334" t="s">
        <v>1510</v>
      </c>
      <c r="BY16" s="1334" t="s">
        <v>1510</v>
      </c>
      <c r="BZ16" s="1334" t="s">
        <v>1510</v>
      </c>
      <c r="CA16" s="1334" t="s">
        <v>1510</v>
      </c>
      <c r="CB16" s="1334" t="s">
        <v>1510</v>
      </c>
      <c r="CC16" s="1334" t="s">
        <v>1511</v>
      </c>
      <c r="CD16" s="1334" t="s">
        <v>1511</v>
      </c>
      <c r="CF16" s="1350" t="s">
        <v>1507</v>
      </c>
      <c r="CG16" s="1334" t="s">
        <v>1510</v>
      </c>
      <c r="CH16" s="1334" t="s">
        <v>1510</v>
      </c>
      <c r="CI16" s="1334" t="s">
        <v>1510</v>
      </c>
      <c r="CJ16" s="1334" t="s">
        <v>1511</v>
      </c>
      <c r="CK16" s="1334" t="s">
        <v>1511</v>
      </c>
      <c r="CL16" s="1334" t="s">
        <v>1511</v>
      </c>
      <c r="CM16" s="1334" t="s">
        <v>1513</v>
      </c>
      <c r="CN16" s="1334" t="s">
        <v>1514</v>
      </c>
      <c r="CO16" s="1334" t="s">
        <v>1514</v>
      </c>
    </row>
    <row r="17" spans="3:93" ht="17.399999999999999" x14ac:dyDescent="0.3">
      <c r="C17" s="1328" t="s">
        <v>1515</v>
      </c>
      <c r="D17" s="1328">
        <v>0.9</v>
      </c>
      <c r="N17" s="1350" t="s">
        <v>1516</v>
      </c>
      <c r="O17" s="1334" t="s">
        <v>1517</v>
      </c>
      <c r="P17" s="1334" t="s">
        <v>1517</v>
      </c>
      <c r="Q17" s="1334" t="s">
        <v>1517</v>
      </c>
      <c r="R17" s="1334" t="s">
        <v>1517</v>
      </c>
      <c r="S17" s="1334" t="s">
        <v>1517</v>
      </c>
      <c r="T17" s="1334" t="s">
        <v>1517</v>
      </c>
      <c r="U17" s="1334" t="s">
        <v>1517</v>
      </c>
      <c r="V17" s="1334" t="s">
        <v>1517</v>
      </c>
      <c r="W17" s="1334" t="s">
        <v>1517</v>
      </c>
      <c r="Y17" s="1350" t="s">
        <v>1516</v>
      </c>
      <c r="Z17" s="1334" t="s">
        <v>1517</v>
      </c>
      <c r="AA17" s="1334" t="s">
        <v>1517</v>
      </c>
      <c r="AB17" s="1334" t="s">
        <v>1517</v>
      </c>
      <c r="AC17" s="1334" t="s">
        <v>1517</v>
      </c>
      <c r="AD17" s="1334" t="s">
        <v>1518</v>
      </c>
      <c r="AE17" s="1334" t="s">
        <v>1518</v>
      </c>
      <c r="AF17" s="1334" t="s">
        <v>1518</v>
      </c>
      <c r="AG17" s="1334" t="s">
        <v>1518</v>
      </c>
      <c r="AH17" s="1334" t="s">
        <v>1518</v>
      </c>
      <c r="AK17" s="796"/>
      <c r="AM17" s="1333" t="s">
        <v>1519</v>
      </c>
      <c r="AN17" s="1335">
        <v>0.5</v>
      </c>
      <c r="AO17" s="1335">
        <v>0.5</v>
      </c>
      <c r="AP17" s="1335">
        <v>0.46</v>
      </c>
      <c r="AQ17" s="1335">
        <v>0.38</v>
      </c>
      <c r="AR17" s="1335">
        <v>0.38</v>
      </c>
      <c r="AS17" s="1335">
        <v>0.38</v>
      </c>
      <c r="AT17" s="1335">
        <v>0.36</v>
      </c>
      <c r="AU17" s="1335">
        <v>0.28999999999999998</v>
      </c>
      <c r="AV17" s="1335">
        <v>0.28999999999999998</v>
      </c>
      <c r="AX17" s="1333" t="s">
        <v>1519</v>
      </c>
      <c r="AY17" s="1335">
        <v>0.48</v>
      </c>
      <c r="AZ17" s="1335">
        <v>0.48</v>
      </c>
      <c r="BA17" s="1335">
        <v>0.44</v>
      </c>
      <c r="BB17" s="1335">
        <v>0.36</v>
      </c>
      <c r="BC17" s="1335">
        <v>0.36</v>
      </c>
      <c r="BD17" s="1335">
        <v>0.36</v>
      </c>
      <c r="BE17" s="1335">
        <v>0.34</v>
      </c>
      <c r="BF17" s="1335">
        <v>0.28000000000000003</v>
      </c>
      <c r="BG17" s="1335">
        <v>0.28000000000000003</v>
      </c>
      <c r="BJ17" s="1350" t="s">
        <v>1520</v>
      </c>
      <c r="BK17" s="1334" t="s">
        <v>1521</v>
      </c>
      <c r="BL17" s="1334" t="s">
        <v>1522</v>
      </c>
      <c r="BM17" s="1334" t="s">
        <v>1522</v>
      </c>
      <c r="BN17" s="1334" t="s">
        <v>1522</v>
      </c>
      <c r="BO17" s="1334" t="s">
        <v>1522</v>
      </c>
      <c r="BP17" s="1334" t="s">
        <v>1522</v>
      </c>
      <c r="BQ17" s="1334" t="s">
        <v>1523</v>
      </c>
      <c r="BR17" s="1334" t="s">
        <v>1523</v>
      </c>
      <c r="BS17" s="1334" t="s">
        <v>1524</v>
      </c>
      <c r="BU17" s="1350" t="s">
        <v>1520</v>
      </c>
      <c r="BV17" s="1334" t="s">
        <v>1521</v>
      </c>
      <c r="BW17" s="1334" t="s">
        <v>1522</v>
      </c>
      <c r="BX17" s="1334" t="s">
        <v>1522</v>
      </c>
      <c r="BY17" s="1334" t="s">
        <v>1522</v>
      </c>
      <c r="BZ17" s="1334" t="s">
        <v>1522</v>
      </c>
      <c r="CA17" s="1334" t="s">
        <v>1522</v>
      </c>
      <c r="CB17" s="1334" t="s">
        <v>1523</v>
      </c>
      <c r="CC17" s="1334" t="s">
        <v>1523</v>
      </c>
      <c r="CD17" s="1334" t="s">
        <v>1524</v>
      </c>
      <c r="CF17" s="1350" t="s">
        <v>1520</v>
      </c>
      <c r="CG17" s="1334" t="s">
        <v>1525</v>
      </c>
      <c r="CH17" s="1334" t="s">
        <v>1524</v>
      </c>
      <c r="CI17" s="1334" t="s">
        <v>1524</v>
      </c>
      <c r="CJ17" s="1334" t="s">
        <v>1524</v>
      </c>
      <c r="CK17" s="1334" t="s">
        <v>1524</v>
      </c>
      <c r="CL17" s="1334" t="s">
        <v>1524</v>
      </c>
      <c r="CM17" s="1334" t="s">
        <v>1526</v>
      </c>
      <c r="CN17" s="1334" t="s">
        <v>1527</v>
      </c>
      <c r="CO17" s="1334" t="s">
        <v>1527</v>
      </c>
    </row>
    <row r="18" spans="3:93" x14ac:dyDescent="0.3">
      <c r="C18" s="1328" t="s">
        <v>1528</v>
      </c>
      <c r="D18" s="1328">
        <v>0.5</v>
      </c>
      <c r="N18" s="1350" t="s">
        <v>1529</v>
      </c>
      <c r="O18" s="1334" t="s">
        <v>1463</v>
      </c>
      <c r="P18" s="1334" t="s">
        <v>1463</v>
      </c>
      <c r="Q18" s="1334" t="s">
        <v>1463</v>
      </c>
      <c r="R18" s="1334" t="s">
        <v>1463</v>
      </c>
      <c r="S18" s="1334" t="str">
        <f>IECC2009_R_Roofs[[#This Row],[CZ 5]]</f>
        <v>R-38</v>
      </c>
      <c r="T18" s="1334" t="s">
        <v>1463</v>
      </c>
      <c r="U18" s="1334" t="s">
        <v>1463</v>
      </c>
      <c r="V18" s="1334" t="s">
        <v>1463</v>
      </c>
      <c r="W18" s="1334" t="s">
        <v>1457</v>
      </c>
      <c r="Y18" s="1350" t="s">
        <v>1529</v>
      </c>
      <c r="Z18" s="1334" t="s">
        <v>1463</v>
      </c>
      <c r="AA18" s="1334" t="s">
        <v>1463</v>
      </c>
      <c r="AB18" s="1334" t="s">
        <v>1463</v>
      </c>
      <c r="AC18" s="1334" t="s">
        <v>1463</v>
      </c>
      <c r="AD18" s="1334" t="s">
        <v>1457</v>
      </c>
      <c r="AE18" s="1334" t="s">
        <v>1457</v>
      </c>
      <c r="AF18" s="1334" t="s">
        <v>1457</v>
      </c>
      <c r="AG18" s="1334" t="s">
        <v>1457</v>
      </c>
      <c r="AH18" s="1334" t="s">
        <v>1457</v>
      </c>
      <c r="AK18" s="796"/>
      <c r="AM18" s="1333" t="s">
        <v>1530</v>
      </c>
      <c r="AN18" s="1335">
        <v>0.65</v>
      </c>
      <c r="AO18" s="1335">
        <v>0.65</v>
      </c>
      <c r="AP18" s="1335">
        <v>0.6</v>
      </c>
      <c r="AQ18" s="1335">
        <v>0.45</v>
      </c>
      <c r="AR18" s="1335">
        <v>0.45</v>
      </c>
      <c r="AS18" s="1335">
        <v>0.45</v>
      </c>
      <c r="AT18" s="1335">
        <v>0.43</v>
      </c>
      <c r="AU18" s="1335">
        <v>0.37</v>
      </c>
      <c r="AV18" s="1335">
        <v>0.37</v>
      </c>
      <c r="AX18" s="1333" t="s">
        <v>1530</v>
      </c>
      <c r="AY18" s="1335">
        <v>0.62</v>
      </c>
      <c r="AZ18" s="1335">
        <v>0.62</v>
      </c>
      <c r="BA18" s="1335">
        <v>0.56999999999999995</v>
      </c>
      <c r="BB18" s="1335">
        <v>0.43</v>
      </c>
      <c r="BC18" s="1335">
        <v>0.43</v>
      </c>
      <c r="BD18" s="1335">
        <v>0.43</v>
      </c>
      <c r="BE18" s="1335">
        <v>0.41</v>
      </c>
      <c r="BF18" s="1335">
        <v>0.35</v>
      </c>
      <c r="BG18" s="1335">
        <v>0.35</v>
      </c>
      <c r="BJ18" s="1350" t="s">
        <v>1529</v>
      </c>
      <c r="BK18" s="1334" t="s">
        <v>1531</v>
      </c>
      <c r="BL18" s="1334" t="s">
        <v>1531</v>
      </c>
      <c r="BM18" s="1334" t="s">
        <v>1531</v>
      </c>
      <c r="BN18" s="1334" t="s">
        <v>1531</v>
      </c>
      <c r="BO18" s="1334" t="s">
        <v>1531</v>
      </c>
      <c r="BP18" s="1334" t="s">
        <v>1531</v>
      </c>
      <c r="BQ18" s="1334" t="s">
        <v>1531</v>
      </c>
      <c r="BR18" s="1334" t="s">
        <v>1531</v>
      </c>
      <c r="BS18" s="1334" t="s">
        <v>1531</v>
      </c>
      <c r="BU18" s="1350" t="s">
        <v>1529</v>
      </c>
      <c r="BV18" s="1334" t="s">
        <v>1532</v>
      </c>
      <c r="BW18" s="1334" t="s">
        <v>1531</v>
      </c>
      <c r="BX18" s="1334" t="s">
        <v>1531</v>
      </c>
      <c r="BY18" s="1334" t="s">
        <v>1531</v>
      </c>
      <c r="BZ18" s="1334" t="s">
        <v>1531</v>
      </c>
      <c r="CA18" s="1334" t="s">
        <v>1531</v>
      </c>
      <c r="CB18" s="1334" t="s">
        <v>1531</v>
      </c>
      <c r="CC18" s="1334" t="s">
        <v>1531</v>
      </c>
      <c r="CD18" s="1334" t="s">
        <v>1531</v>
      </c>
      <c r="CF18" s="1350" t="s">
        <v>1529</v>
      </c>
      <c r="CG18" s="1334" t="s">
        <v>1531</v>
      </c>
      <c r="CH18" s="1334" t="s">
        <v>1531</v>
      </c>
      <c r="CI18" s="1334" t="s">
        <v>1531</v>
      </c>
      <c r="CJ18" s="1334" t="s">
        <v>1531</v>
      </c>
      <c r="CK18" s="1334" t="s">
        <v>1531</v>
      </c>
      <c r="CL18" s="1334" t="s">
        <v>1531</v>
      </c>
      <c r="CM18" s="1334" t="s">
        <v>1533</v>
      </c>
      <c r="CN18" s="1334" t="s">
        <v>1533</v>
      </c>
      <c r="CO18" s="1334" t="s">
        <v>1533</v>
      </c>
    </row>
    <row r="19" spans="3:93" ht="16.2" thickBot="1" x14ac:dyDescent="0.35">
      <c r="C19" s="1328" t="s">
        <v>1534</v>
      </c>
      <c r="D19" s="1328">
        <v>0.6</v>
      </c>
      <c r="AK19" s="796"/>
      <c r="AM19" s="1333" t="s">
        <v>1535</v>
      </c>
      <c r="AN19" s="1335">
        <v>0.27</v>
      </c>
      <c r="AO19" s="1335">
        <v>0.27</v>
      </c>
      <c r="AP19" s="1335">
        <v>0.3</v>
      </c>
      <c r="AQ19" s="1335">
        <v>0.4</v>
      </c>
      <c r="AR19" s="1335">
        <v>0.4</v>
      </c>
      <c r="AS19" s="1335">
        <v>0.4</v>
      </c>
      <c r="AT19" s="1335">
        <v>0.4</v>
      </c>
      <c r="AU19" s="1335" t="s">
        <v>1459</v>
      </c>
      <c r="AV19" s="1335" t="s">
        <v>1459</v>
      </c>
      <c r="AX19" s="1333" t="s">
        <v>1535</v>
      </c>
      <c r="AY19" s="1335">
        <v>0.25</v>
      </c>
      <c r="AZ19" s="1335">
        <v>0.25</v>
      </c>
      <c r="BA19" s="1335">
        <v>0.25</v>
      </c>
      <c r="BB19" s="1335">
        <v>0.4</v>
      </c>
      <c r="BC19" s="1335">
        <v>0.4</v>
      </c>
      <c r="BD19" s="1335">
        <v>0.4</v>
      </c>
      <c r="BE19" s="1335">
        <v>0.4</v>
      </c>
      <c r="BF19" s="1335" t="s">
        <v>1459</v>
      </c>
      <c r="BG19" s="1335" t="s">
        <v>1459</v>
      </c>
    </row>
    <row r="20" spans="3:93" ht="16.2" thickBot="1" x14ac:dyDescent="0.35">
      <c r="C20" s="1328" t="s">
        <v>1536</v>
      </c>
      <c r="D20" s="1328">
        <v>0.9</v>
      </c>
      <c r="N20" s="1907" t="s">
        <v>1537</v>
      </c>
      <c r="O20" s="1908"/>
      <c r="P20" s="1908"/>
      <c r="Q20" s="1908"/>
      <c r="R20" s="1908"/>
      <c r="S20" s="1908"/>
      <c r="T20" s="1908"/>
      <c r="U20" s="1908"/>
      <c r="V20" s="1908"/>
      <c r="W20" s="1909"/>
      <c r="Y20" s="1907" t="s">
        <v>1538</v>
      </c>
      <c r="Z20" s="1908"/>
      <c r="AA20" s="1908"/>
      <c r="AB20" s="1908"/>
      <c r="AC20" s="1908"/>
      <c r="AD20" s="1908"/>
      <c r="AE20" s="1908"/>
      <c r="AF20" s="1908"/>
      <c r="AG20" s="1908"/>
      <c r="AH20" s="1909"/>
      <c r="AK20" s="797"/>
      <c r="BJ20" s="1907" t="s">
        <v>1539</v>
      </c>
      <c r="BK20" s="1908"/>
      <c r="BL20" s="1908"/>
      <c r="BM20" s="1908"/>
      <c r="BN20" s="1908"/>
      <c r="BO20" s="1908"/>
      <c r="BP20" s="1908"/>
      <c r="BQ20" s="1908"/>
      <c r="BR20" s="1908"/>
      <c r="BS20" s="1909"/>
      <c r="BU20" s="1907" t="s">
        <v>1540</v>
      </c>
      <c r="BV20" s="1908"/>
      <c r="BW20" s="1908"/>
      <c r="BX20" s="1908"/>
      <c r="BY20" s="1908"/>
      <c r="BZ20" s="1908"/>
      <c r="CA20" s="1908"/>
      <c r="CB20" s="1908"/>
      <c r="CC20" s="1908"/>
      <c r="CD20" s="1909"/>
      <c r="CF20" s="1907" t="s">
        <v>1541</v>
      </c>
      <c r="CG20" s="1908"/>
      <c r="CH20" s="1908"/>
      <c r="CI20" s="1908"/>
      <c r="CJ20" s="1908"/>
      <c r="CK20" s="1908"/>
      <c r="CL20" s="1908"/>
      <c r="CM20" s="1908"/>
      <c r="CN20" s="1908"/>
      <c r="CO20" s="1909"/>
    </row>
    <row r="21" spans="3:93" ht="16.2" thickBot="1" x14ac:dyDescent="0.35">
      <c r="C21" s="1328" t="s">
        <v>1542</v>
      </c>
      <c r="D21" s="1328">
        <v>1.3</v>
      </c>
      <c r="N21" s="1915" t="s">
        <v>1543</v>
      </c>
      <c r="O21" s="1916"/>
      <c r="P21" s="1916"/>
      <c r="Q21" s="1916"/>
      <c r="R21" s="1916"/>
      <c r="S21" s="1916"/>
      <c r="T21" s="1916"/>
      <c r="U21" s="1916"/>
      <c r="V21" s="1916"/>
      <c r="W21" s="1917"/>
      <c r="Y21" s="1915" t="s">
        <v>1544</v>
      </c>
      <c r="Z21" s="1916"/>
      <c r="AA21" s="1916"/>
      <c r="AB21" s="1916"/>
      <c r="AC21" s="1916"/>
      <c r="AD21" s="1916"/>
      <c r="AE21" s="1916"/>
      <c r="AF21" s="1916"/>
      <c r="AG21" s="1916"/>
      <c r="AH21" s="1917"/>
      <c r="AM21" s="1907" t="s">
        <v>1545</v>
      </c>
      <c r="AN21" s="1908"/>
      <c r="AO21" s="1908"/>
      <c r="AP21" s="1908"/>
      <c r="AQ21" s="1908"/>
      <c r="AR21" s="1908"/>
      <c r="AS21" s="1908"/>
      <c r="AT21" s="1908"/>
      <c r="AU21" s="1908"/>
      <c r="AV21" s="1909"/>
      <c r="AX21" s="1907" t="s">
        <v>1546</v>
      </c>
      <c r="AY21" s="1908"/>
      <c r="AZ21" s="1908"/>
      <c r="BA21" s="1909"/>
      <c r="BJ21" s="1915" t="s">
        <v>1547</v>
      </c>
      <c r="BK21" s="1916"/>
      <c r="BL21" s="1916"/>
      <c r="BM21" s="1916"/>
      <c r="BN21" s="1916"/>
      <c r="BO21" s="1916"/>
      <c r="BP21" s="1916"/>
      <c r="BQ21" s="1916"/>
      <c r="BR21" s="1916"/>
      <c r="BS21" s="1917"/>
      <c r="BU21" s="1915" t="s">
        <v>1548</v>
      </c>
      <c r="BV21" s="1916"/>
      <c r="BW21" s="1916"/>
      <c r="BX21" s="1916"/>
      <c r="BY21" s="1916"/>
      <c r="BZ21" s="1916"/>
      <c r="CA21" s="1916"/>
      <c r="CB21" s="1916"/>
      <c r="CC21" s="1916"/>
      <c r="CD21" s="1917"/>
      <c r="CF21" s="1915" t="s">
        <v>1549</v>
      </c>
      <c r="CG21" s="1916"/>
      <c r="CH21" s="1916"/>
      <c r="CI21" s="1916"/>
      <c r="CJ21" s="1916"/>
      <c r="CK21" s="1916"/>
      <c r="CL21" s="1916"/>
      <c r="CM21" s="1916"/>
      <c r="CN21" s="1916"/>
      <c r="CO21" s="1917"/>
    </row>
    <row r="22" spans="3:93" ht="16.5" customHeight="1" thickBot="1" x14ac:dyDescent="0.35">
      <c r="C22" s="1328" t="s">
        <v>1550</v>
      </c>
      <c r="D22" s="1328">
        <v>1.1000000000000001</v>
      </c>
      <c r="N22" s="1323" t="s">
        <v>510</v>
      </c>
      <c r="O22" s="1324" t="s">
        <v>1430</v>
      </c>
      <c r="P22" s="1325" t="s">
        <v>1431</v>
      </c>
      <c r="Q22" s="1324" t="s">
        <v>1432</v>
      </c>
      <c r="R22" s="1325" t="s">
        <v>1433</v>
      </c>
      <c r="S22" s="1324" t="s">
        <v>1434</v>
      </c>
      <c r="T22" s="1325" t="s">
        <v>1435</v>
      </c>
      <c r="U22" s="1324" t="s">
        <v>1436</v>
      </c>
      <c r="V22" s="1324" t="s">
        <v>1437</v>
      </c>
      <c r="W22" s="1324" t="s">
        <v>1438</v>
      </c>
      <c r="Y22" s="1323" t="s">
        <v>510</v>
      </c>
      <c r="Z22" s="1324" t="s">
        <v>1430</v>
      </c>
      <c r="AA22" s="1325" t="s">
        <v>1431</v>
      </c>
      <c r="AB22" s="1324" t="s">
        <v>1432</v>
      </c>
      <c r="AC22" s="1325" t="s">
        <v>1433</v>
      </c>
      <c r="AD22" s="1324" t="s">
        <v>1434</v>
      </c>
      <c r="AE22" s="1325" t="s">
        <v>1435</v>
      </c>
      <c r="AF22" s="1324" t="s">
        <v>1436</v>
      </c>
      <c r="AG22" s="1324" t="s">
        <v>1437</v>
      </c>
      <c r="AH22" s="1324" t="s">
        <v>1438</v>
      </c>
      <c r="AM22" s="1929" t="s">
        <v>1551</v>
      </c>
      <c r="AN22" s="1916"/>
      <c r="AO22" s="1916"/>
      <c r="AP22" s="1916"/>
      <c r="AQ22" s="1916"/>
      <c r="AR22" s="1916"/>
      <c r="AS22" s="1916"/>
      <c r="AT22" s="1916"/>
      <c r="AU22" s="1916"/>
      <c r="AV22" s="1917"/>
      <c r="AX22" s="1913" t="s">
        <v>1552</v>
      </c>
      <c r="AY22" s="1935"/>
      <c r="AZ22" s="1935"/>
      <c r="BA22" s="1914"/>
      <c r="BB22" s="1315"/>
      <c r="BC22" s="1315"/>
      <c r="BD22" s="1315"/>
      <c r="BE22" s="1315"/>
      <c r="BF22" s="1315"/>
      <c r="BG22" s="1315"/>
      <c r="BJ22" s="1323" t="s">
        <v>510</v>
      </c>
      <c r="BK22" s="1324" t="s">
        <v>1430</v>
      </c>
      <c r="BL22" s="1325" t="s">
        <v>1431</v>
      </c>
      <c r="BM22" s="1324" t="s">
        <v>1432</v>
      </c>
      <c r="BN22" s="1325" t="s">
        <v>1433</v>
      </c>
      <c r="BO22" s="1324" t="s">
        <v>1434</v>
      </c>
      <c r="BP22" s="1325" t="s">
        <v>1435</v>
      </c>
      <c r="BQ22" s="1324" t="s">
        <v>1436</v>
      </c>
      <c r="BR22" s="1324" t="s">
        <v>1437</v>
      </c>
      <c r="BS22" s="1324" t="s">
        <v>1438</v>
      </c>
      <c r="BU22" s="1323" t="s">
        <v>510</v>
      </c>
      <c r="BV22" s="1324" t="s">
        <v>1430</v>
      </c>
      <c r="BW22" s="1325" t="s">
        <v>1431</v>
      </c>
      <c r="BX22" s="1324" t="s">
        <v>1432</v>
      </c>
      <c r="BY22" s="1325" t="s">
        <v>1433</v>
      </c>
      <c r="BZ22" s="1324" t="s">
        <v>1434</v>
      </c>
      <c r="CA22" s="1325" t="s">
        <v>1435</v>
      </c>
      <c r="CB22" s="1324" t="s">
        <v>1436</v>
      </c>
      <c r="CC22" s="1324" t="s">
        <v>1437</v>
      </c>
      <c r="CD22" s="1324" t="s">
        <v>1438</v>
      </c>
      <c r="CF22" s="1323" t="s">
        <v>510</v>
      </c>
      <c r="CG22" s="1324" t="s">
        <v>1430</v>
      </c>
      <c r="CH22" s="1325" t="s">
        <v>1431</v>
      </c>
      <c r="CI22" s="1324" t="s">
        <v>1432</v>
      </c>
      <c r="CJ22" s="1325" t="s">
        <v>1433</v>
      </c>
      <c r="CK22" s="1324" t="s">
        <v>1434</v>
      </c>
      <c r="CL22" s="1325" t="s">
        <v>1435</v>
      </c>
      <c r="CM22" s="1324" t="s">
        <v>1436</v>
      </c>
      <c r="CN22" s="1324" t="s">
        <v>1437</v>
      </c>
      <c r="CO22" s="1324" t="s">
        <v>1438</v>
      </c>
    </row>
    <row r="23" spans="3:93" x14ac:dyDescent="0.3">
      <c r="C23" s="1328" t="s">
        <v>1553</v>
      </c>
      <c r="D23" s="1328">
        <v>1.2</v>
      </c>
      <c r="N23" s="1350" t="s">
        <v>1554</v>
      </c>
      <c r="O23" s="1334" t="s">
        <v>1555</v>
      </c>
      <c r="P23" s="1334" t="s">
        <v>1555</v>
      </c>
      <c r="Q23" s="1334" t="s">
        <v>1555</v>
      </c>
      <c r="R23" s="1334" t="s">
        <v>1556</v>
      </c>
      <c r="S23" s="1334" t="s">
        <v>1556</v>
      </c>
      <c r="T23" s="1334" t="s">
        <v>1556</v>
      </c>
      <c r="U23" s="1334" t="s">
        <v>1557</v>
      </c>
      <c r="V23" s="1334" t="s">
        <v>1557</v>
      </c>
      <c r="W23" s="1334" t="s">
        <v>1508</v>
      </c>
      <c r="Y23" s="1350" t="s">
        <v>1554</v>
      </c>
      <c r="Z23" s="1334" t="s">
        <v>1556</v>
      </c>
      <c r="AA23" s="1334" t="s">
        <v>1556</v>
      </c>
      <c r="AB23" s="1334" t="s">
        <v>1556</v>
      </c>
      <c r="AC23" s="1334" t="s">
        <v>1556</v>
      </c>
      <c r="AD23" s="1334" t="s">
        <v>1556</v>
      </c>
      <c r="AE23" s="1334" t="s">
        <v>1556</v>
      </c>
      <c r="AF23" s="1334" t="s">
        <v>1557</v>
      </c>
      <c r="AG23" s="1334" t="s">
        <v>1557</v>
      </c>
      <c r="AH23" s="1334" t="s">
        <v>1508</v>
      </c>
      <c r="AM23" s="1320" t="s">
        <v>510</v>
      </c>
      <c r="AN23" s="1324" t="s">
        <v>1430</v>
      </c>
      <c r="AO23" s="1325" t="s">
        <v>1431</v>
      </c>
      <c r="AP23" s="1324" t="s">
        <v>1432</v>
      </c>
      <c r="AQ23" s="1325" t="s">
        <v>1433</v>
      </c>
      <c r="AR23" s="1324" t="s">
        <v>1434</v>
      </c>
      <c r="AS23" s="1325" t="s">
        <v>1435</v>
      </c>
      <c r="AT23" s="1324" t="s">
        <v>1436</v>
      </c>
      <c r="AU23" s="1324" t="s">
        <v>1437</v>
      </c>
      <c r="AV23" s="1324" t="s">
        <v>1438</v>
      </c>
      <c r="AX23" s="1320" t="s">
        <v>510</v>
      </c>
      <c r="AY23" s="1321" t="s">
        <v>1434</v>
      </c>
      <c r="AZ23" s="1322" t="s">
        <v>1435</v>
      </c>
      <c r="BA23" s="1321" t="s">
        <v>1436</v>
      </c>
      <c r="BJ23" s="1350" t="s">
        <v>1554</v>
      </c>
      <c r="BK23" s="1334" t="s">
        <v>1558</v>
      </c>
      <c r="BL23" s="1334" t="s">
        <v>1559</v>
      </c>
      <c r="BM23" s="1334" t="s">
        <v>1560</v>
      </c>
      <c r="BN23" s="1334" t="s">
        <v>1561</v>
      </c>
      <c r="BO23" s="1334" t="s">
        <v>1562</v>
      </c>
      <c r="BP23" s="1334" t="s">
        <v>1562</v>
      </c>
      <c r="BQ23" s="1334" t="s">
        <v>1563</v>
      </c>
      <c r="BR23" s="1334" t="s">
        <v>1563</v>
      </c>
      <c r="BS23" s="1334" t="s">
        <v>1564</v>
      </c>
      <c r="BU23" s="1350" t="s">
        <v>1554</v>
      </c>
      <c r="BV23" s="1334" t="s">
        <v>1565</v>
      </c>
      <c r="BW23" s="1334" t="s">
        <v>1558</v>
      </c>
      <c r="BX23" s="1334" t="s">
        <v>1559</v>
      </c>
      <c r="BY23" s="1334" t="s">
        <v>1560</v>
      </c>
      <c r="BZ23" s="1334" t="s">
        <v>1561</v>
      </c>
      <c r="CA23" s="1334" t="s">
        <v>1561</v>
      </c>
      <c r="CB23" s="1334" t="s">
        <v>1562</v>
      </c>
      <c r="CC23" s="1334" t="s">
        <v>1563</v>
      </c>
      <c r="CD23" s="1334" t="s">
        <v>1563</v>
      </c>
      <c r="CF23" s="1350" t="s">
        <v>1554</v>
      </c>
      <c r="CG23" s="1334" t="s">
        <v>1566</v>
      </c>
      <c r="CH23" s="1334" t="s">
        <v>1566</v>
      </c>
      <c r="CI23" s="1334" t="s">
        <v>1567</v>
      </c>
      <c r="CJ23" s="1334" t="s">
        <v>1560</v>
      </c>
      <c r="CK23" s="1334" t="s">
        <v>1568</v>
      </c>
      <c r="CL23" s="1334" t="s">
        <v>1568</v>
      </c>
      <c r="CM23" s="1334" t="s">
        <v>1568</v>
      </c>
      <c r="CN23" s="1334" t="s">
        <v>1569</v>
      </c>
      <c r="CO23" s="1334" t="s">
        <v>1569</v>
      </c>
    </row>
    <row r="24" spans="3:93" ht="17.399999999999999" x14ac:dyDescent="0.3">
      <c r="C24" s="1328" t="s">
        <v>1570</v>
      </c>
      <c r="D24" s="1328">
        <v>1.5</v>
      </c>
      <c r="N24" s="1350" t="s">
        <v>1571</v>
      </c>
      <c r="O24" s="1334" t="s">
        <v>1572</v>
      </c>
      <c r="P24" s="1334" t="s">
        <v>1572</v>
      </c>
      <c r="Q24" s="1334" t="s">
        <v>1573</v>
      </c>
      <c r="R24" s="1334" t="s">
        <v>1574</v>
      </c>
      <c r="S24" s="1334" t="s">
        <v>1575</v>
      </c>
      <c r="T24" s="1334" t="s">
        <v>1575</v>
      </c>
      <c r="U24" s="1334" t="s">
        <v>1576</v>
      </c>
      <c r="V24" s="1334" t="s">
        <v>1577</v>
      </c>
      <c r="W24" s="1334" t="s">
        <v>1578</v>
      </c>
      <c r="Y24" s="1350" t="s">
        <v>1579</v>
      </c>
      <c r="Z24" s="1334" t="s">
        <v>1575</v>
      </c>
      <c r="AA24" s="1334" t="s">
        <v>1575</v>
      </c>
      <c r="AB24" s="1334" t="s">
        <v>1575</v>
      </c>
      <c r="AC24" s="1334" t="s">
        <v>1575</v>
      </c>
      <c r="AD24" s="1334" t="s">
        <v>1575</v>
      </c>
      <c r="AE24" s="1334" t="s">
        <v>1575</v>
      </c>
      <c r="AF24" s="1334" t="s">
        <v>1576</v>
      </c>
      <c r="AG24" s="1334" t="s">
        <v>1577</v>
      </c>
      <c r="AH24" s="1334" t="s">
        <v>1578</v>
      </c>
      <c r="AM24" s="1333" t="s">
        <v>1580</v>
      </c>
      <c r="AN24" s="1335">
        <v>1.2</v>
      </c>
      <c r="AO24" s="1335">
        <v>0.65</v>
      </c>
      <c r="AP24" s="1335">
        <v>0.5</v>
      </c>
      <c r="AQ24" s="1335">
        <v>0.35</v>
      </c>
      <c r="AR24" s="1335">
        <v>0.35</v>
      </c>
      <c r="AS24" s="1335">
        <v>0.35</v>
      </c>
      <c r="AT24" s="1335">
        <v>0.35</v>
      </c>
      <c r="AU24" s="1335">
        <v>0.35</v>
      </c>
      <c r="AV24" s="1335">
        <v>0.35</v>
      </c>
      <c r="AX24" s="1333" t="s">
        <v>1519</v>
      </c>
      <c r="AY24" s="1">
        <v>0.36</v>
      </c>
      <c r="AZ24" s="1">
        <v>0.36</v>
      </c>
      <c r="BA24" s="1">
        <v>0.34</v>
      </c>
      <c r="BJ24" s="1350" t="s">
        <v>1579</v>
      </c>
      <c r="BK24" s="1334" t="s">
        <v>1581</v>
      </c>
      <c r="BL24" s="1334" t="s">
        <v>1581</v>
      </c>
      <c r="BM24" s="1334" t="s">
        <v>1582</v>
      </c>
      <c r="BN24" s="1334" t="s">
        <v>1582</v>
      </c>
      <c r="BO24" s="1334" t="s">
        <v>1583</v>
      </c>
      <c r="BP24" s="1334" t="s">
        <v>1583</v>
      </c>
      <c r="BQ24" s="1334" t="s">
        <v>1583</v>
      </c>
      <c r="BR24" s="1334" t="s">
        <v>1584</v>
      </c>
      <c r="BS24" s="1334" t="s">
        <v>1584</v>
      </c>
      <c r="BU24" s="1350" t="s">
        <v>1579</v>
      </c>
      <c r="BV24" s="1334" t="s">
        <v>1581</v>
      </c>
      <c r="BW24" s="1334" t="s">
        <v>1581</v>
      </c>
      <c r="BX24" s="1334" t="s">
        <v>1582</v>
      </c>
      <c r="BY24" s="1334" t="s">
        <v>1582</v>
      </c>
      <c r="BZ24" s="1334" t="s">
        <v>1583</v>
      </c>
      <c r="CA24" s="1334" t="s">
        <v>1583</v>
      </c>
      <c r="CB24" s="1334" t="s">
        <v>1583</v>
      </c>
      <c r="CC24" s="1334" t="s">
        <v>1584</v>
      </c>
      <c r="CD24" s="1334" t="s">
        <v>1584</v>
      </c>
      <c r="CF24" s="1350" t="s">
        <v>1579</v>
      </c>
      <c r="CG24" s="1334" t="s">
        <v>1585</v>
      </c>
      <c r="CH24" s="1334" t="s">
        <v>1585</v>
      </c>
      <c r="CI24" s="1334" t="s">
        <v>1585</v>
      </c>
      <c r="CJ24" s="1334" t="s">
        <v>1564</v>
      </c>
      <c r="CK24" s="1334" t="s">
        <v>1564</v>
      </c>
      <c r="CL24" s="1334" t="s">
        <v>1564</v>
      </c>
      <c r="CM24" s="1334" t="s">
        <v>1564</v>
      </c>
      <c r="CN24" s="1334" t="s">
        <v>1564</v>
      </c>
      <c r="CO24" s="1334" t="s">
        <v>1564</v>
      </c>
    </row>
    <row r="25" spans="3:93" x14ac:dyDescent="0.3">
      <c r="C25" s="1328" t="s">
        <v>1586</v>
      </c>
      <c r="D25" s="1328">
        <v>1.9</v>
      </c>
      <c r="N25" s="1350" t="s">
        <v>1587</v>
      </c>
      <c r="O25" s="1334" t="s">
        <v>1588</v>
      </c>
      <c r="P25" s="1334" t="s">
        <v>1588</v>
      </c>
      <c r="Q25" s="1334" t="s">
        <v>1588</v>
      </c>
      <c r="R25" s="1334" t="s">
        <v>1589</v>
      </c>
      <c r="S25" s="1334" t="s">
        <v>1589</v>
      </c>
      <c r="T25" s="1334" t="s">
        <v>1589</v>
      </c>
      <c r="U25" s="1334" t="s">
        <v>1590</v>
      </c>
      <c r="V25" s="1334" t="s">
        <v>1590</v>
      </c>
      <c r="W25" s="1334" t="s">
        <v>1591</v>
      </c>
      <c r="Y25" s="1350" t="s">
        <v>1587</v>
      </c>
      <c r="Z25" s="1334" t="s">
        <v>1589</v>
      </c>
      <c r="AA25" s="1334" t="s">
        <v>1589</v>
      </c>
      <c r="AB25" s="1334" t="s">
        <v>1589</v>
      </c>
      <c r="AC25" s="1334" t="s">
        <v>1589</v>
      </c>
      <c r="AD25" s="1334" t="s">
        <v>1589</v>
      </c>
      <c r="AE25" s="1334" t="s">
        <v>1589</v>
      </c>
      <c r="AF25" s="1334" t="s">
        <v>1590</v>
      </c>
      <c r="AG25" s="1334" t="s">
        <v>1590</v>
      </c>
      <c r="AH25" s="1334" t="s">
        <v>1591</v>
      </c>
      <c r="AM25" s="1333" t="s">
        <v>1592</v>
      </c>
      <c r="AN25" s="1335">
        <v>0.75</v>
      </c>
      <c r="AO25" s="1335">
        <v>0.75</v>
      </c>
      <c r="AP25" s="1335">
        <v>0.65</v>
      </c>
      <c r="AQ25" s="1335">
        <v>0.6</v>
      </c>
      <c r="AR25" s="1335">
        <v>0.6</v>
      </c>
      <c r="AS25" s="1335">
        <v>0.6</v>
      </c>
      <c r="AT25" s="1335">
        <v>0.6</v>
      </c>
      <c r="AU25" s="1335">
        <v>0.6</v>
      </c>
      <c r="AV25" s="1335">
        <v>0.6</v>
      </c>
      <c r="AX25" s="1333" t="s">
        <v>1530</v>
      </c>
      <c r="AY25" s="1">
        <v>0.43</v>
      </c>
      <c r="AZ25" s="1">
        <v>0.43</v>
      </c>
      <c r="BA25" s="1">
        <v>0.41</v>
      </c>
      <c r="BJ25" s="1350" t="s">
        <v>1587</v>
      </c>
      <c r="BK25" s="1334" t="s">
        <v>1593</v>
      </c>
      <c r="BL25" s="1334" t="s">
        <v>1594</v>
      </c>
      <c r="BM25" s="1334" t="s">
        <v>1594</v>
      </c>
      <c r="BN25" s="1334" t="s">
        <v>1594</v>
      </c>
      <c r="BO25" s="1334" t="s">
        <v>1594</v>
      </c>
      <c r="BP25" s="1334" t="s">
        <v>1594</v>
      </c>
      <c r="BQ25" s="1334" t="s">
        <v>1584</v>
      </c>
      <c r="BR25" s="1334" t="s">
        <v>1564</v>
      </c>
      <c r="BS25" s="1334" t="s">
        <v>1595</v>
      </c>
      <c r="BU25" s="1350" t="s">
        <v>1587</v>
      </c>
      <c r="BV25" s="1334" t="s">
        <v>1593</v>
      </c>
      <c r="BW25" s="1334" t="s">
        <v>1593</v>
      </c>
      <c r="BX25" s="1334" t="s">
        <v>1582</v>
      </c>
      <c r="BY25" s="1334" t="s">
        <v>1594</v>
      </c>
      <c r="BZ25" s="1334" t="s">
        <v>1594</v>
      </c>
      <c r="CA25" s="1334" t="s">
        <v>1594</v>
      </c>
      <c r="CB25" s="1334" t="s">
        <v>1594</v>
      </c>
      <c r="CC25" s="1334" t="s">
        <v>1594</v>
      </c>
      <c r="CD25" s="1334" t="s">
        <v>1594</v>
      </c>
      <c r="CF25" s="1350" t="s">
        <v>1587</v>
      </c>
      <c r="CG25" s="1334" t="s">
        <v>1596</v>
      </c>
      <c r="CH25" s="1334" t="s">
        <v>1596</v>
      </c>
      <c r="CI25" s="1334" t="s">
        <v>1594</v>
      </c>
      <c r="CJ25" s="1334" t="s">
        <v>1594</v>
      </c>
      <c r="CK25" s="1334" t="s">
        <v>1594</v>
      </c>
      <c r="CL25" s="1334" t="s">
        <v>1594</v>
      </c>
      <c r="CM25" s="1334" t="s">
        <v>1594</v>
      </c>
      <c r="CN25" s="1334" t="s">
        <v>1594</v>
      </c>
      <c r="CO25" s="1334" t="s">
        <v>1597</v>
      </c>
    </row>
    <row r="26" spans="3:93" x14ac:dyDescent="0.3">
      <c r="C26" s="1328" t="s">
        <v>1392</v>
      </c>
      <c r="D26" s="1328">
        <v>0.24</v>
      </c>
      <c r="N26" s="1350" t="s">
        <v>1598</v>
      </c>
      <c r="O26" s="1334" t="s">
        <v>1599</v>
      </c>
      <c r="P26" s="1334" t="s">
        <v>1599</v>
      </c>
      <c r="Q26" s="1334" t="s">
        <v>1599</v>
      </c>
      <c r="R26" s="1334" t="s">
        <v>1600</v>
      </c>
      <c r="S26" s="1334" t="str">
        <f>IECC2009_R_WallsAboveGrade[[#This Row],[CZ 5]]</f>
        <v>R-13 + R-3.8ci</v>
      </c>
      <c r="T26" s="1334" t="s">
        <v>1600</v>
      </c>
      <c r="U26" s="1334" t="s">
        <v>1601</v>
      </c>
      <c r="V26" s="1334" t="s">
        <v>1601</v>
      </c>
      <c r="W26" s="1334" t="s">
        <v>1602</v>
      </c>
      <c r="Y26" s="1350" t="s">
        <v>1598</v>
      </c>
      <c r="Z26" s="1334" t="s">
        <v>1603</v>
      </c>
      <c r="AA26" s="1334" t="s">
        <v>1603</v>
      </c>
      <c r="AB26" s="1334" t="s">
        <v>1603</v>
      </c>
      <c r="AC26" s="1334" t="s">
        <v>1603</v>
      </c>
      <c r="AD26" s="1334" t="s">
        <v>1604</v>
      </c>
      <c r="AE26" s="1334" t="s">
        <v>1604</v>
      </c>
      <c r="AF26" s="1334" t="s">
        <v>1604</v>
      </c>
      <c r="AG26" s="1334" t="s">
        <v>1604</v>
      </c>
      <c r="AH26" s="1334" t="s">
        <v>1605</v>
      </c>
      <c r="AM26" s="1333" t="s">
        <v>1606</v>
      </c>
      <c r="AN26" s="1335">
        <v>0.3</v>
      </c>
      <c r="AO26" s="1335">
        <v>0.3</v>
      </c>
      <c r="AP26" s="1335">
        <v>0.3</v>
      </c>
      <c r="AQ26" s="1335" t="s">
        <v>1447</v>
      </c>
      <c r="AR26" s="1335" t="s">
        <v>1447</v>
      </c>
      <c r="AS26" s="1335" t="s">
        <v>1447</v>
      </c>
      <c r="AT26" s="1335" t="s">
        <v>1447</v>
      </c>
      <c r="AU26" s="1335" t="s">
        <v>1447</v>
      </c>
      <c r="AV26" s="1335" t="s">
        <v>1447</v>
      </c>
      <c r="AX26" s="1333" t="s">
        <v>1535</v>
      </c>
      <c r="AY26" s="1">
        <v>0.3</v>
      </c>
      <c r="AZ26" s="1">
        <v>0.3</v>
      </c>
      <c r="BA26" s="1">
        <v>0.3</v>
      </c>
      <c r="BJ26" s="1350" t="s">
        <v>1598</v>
      </c>
      <c r="BK26" s="1334" t="s">
        <v>1607</v>
      </c>
      <c r="BL26" s="1334" t="s">
        <v>1607</v>
      </c>
      <c r="BM26" s="1334" t="s">
        <v>1607</v>
      </c>
      <c r="BN26" s="1334" t="s">
        <v>1594</v>
      </c>
      <c r="BO26" s="1334" t="s">
        <v>1608</v>
      </c>
      <c r="BP26" s="1334" t="s">
        <v>1608</v>
      </c>
      <c r="BQ26" s="1334" t="s">
        <v>1608</v>
      </c>
      <c r="BR26" s="1334" t="s">
        <v>1608</v>
      </c>
      <c r="BS26" s="1334" t="s">
        <v>1609</v>
      </c>
      <c r="BU26" s="1350" t="s">
        <v>1598</v>
      </c>
      <c r="BV26" s="1334" t="s">
        <v>1607</v>
      </c>
      <c r="BW26" s="1334" t="s">
        <v>1607</v>
      </c>
      <c r="BX26" s="1334" t="s">
        <v>1607</v>
      </c>
      <c r="BY26" s="1334" t="s">
        <v>1607</v>
      </c>
      <c r="BZ26" s="1334" t="s">
        <v>1594</v>
      </c>
      <c r="CA26" s="1334" t="s">
        <v>1594</v>
      </c>
      <c r="CB26" s="1334" t="s">
        <v>1608</v>
      </c>
      <c r="CC26" s="1334" t="s">
        <v>1608</v>
      </c>
      <c r="CD26" s="1334" t="s">
        <v>1609</v>
      </c>
      <c r="CF26" s="1350" t="s">
        <v>1598</v>
      </c>
      <c r="CG26" s="1334" t="s">
        <v>1594</v>
      </c>
      <c r="CH26" s="1334" t="s">
        <v>1594</v>
      </c>
      <c r="CI26" s="1334" t="s">
        <v>1594</v>
      </c>
      <c r="CJ26" s="1334" t="s">
        <v>1594</v>
      </c>
      <c r="CK26" s="1334" t="s">
        <v>1594</v>
      </c>
      <c r="CL26" s="1334" t="s">
        <v>1594</v>
      </c>
      <c r="CM26" s="1334" t="s">
        <v>1608</v>
      </c>
      <c r="CN26" s="1334" t="s">
        <v>1608</v>
      </c>
      <c r="CO26" s="1334" t="s">
        <v>1609</v>
      </c>
    </row>
    <row r="27" spans="3:93" ht="16.2" thickBot="1" x14ac:dyDescent="0.35">
      <c r="AM27" s="1333" t="s">
        <v>1610</v>
      </c>
      <c r="AN27" s="1335">
        <v>30</v>
      </c>
      <c r="AO27" s="1335">
        <v>30</v>
      </c>
      <c r="AP27" s="1335">
        <v>30</v>
      </c>
      <c r="AQ27" s="1335">
        <v>38</v>
      </c>
      <c r="AR27" s="1335">
        <v>38</v>
      </c>
      <c r="AS27" s="1335">
        <v>38</v>
      </c>
      <c r="AT27" s="1335">
        <v>49</v>
      </c>
      <c r="AU27" s="1335">
        <v>49</v>
      </c>
      <c r="AV27" s="1335">
        <v>49</v>
      </c>
    </row>
    <row r="28" spans="3:93" ht="16.2" thickBot="1" x14ac:dyDescent="0.35">
      <c r="C28" s="1936" t="s">
        <v>1611</v>
      </c>
      <c r="D28" s="1936"/>
      <c r="N28" s="1907" t="s">
        <v>1612</v>
      </c>
      <c r="O28" s="1908"/>
      <c r="P28" s="1908"/>
      <c r="Q28" s="1908"/>
      <c r="R28" s="1908"/>
      <c r="S28" s="1908"/>
      <c r="T28" s="1908"/>
      <c r="U28" s="1908"/>
      <c r="V28" s="1908"/>
      <c r="W28" s="1909"/>
      <c r="Y28" s="1907" t="s">
        <v>1613</v>
      </c>
      <c r="Z28" s="1908"/>
      <c r="AA28" s="1908"/>
      <c r="AB28" s="1908"/>
      <c r="AC28" s="1908"/>
      <c r="AD28" s="1908"/>
      <c r="AE28" s="1908"/>
      <c r="AF28" s="1908"/>
      <c r="AG28" s="1908"/>
      <c r="AH28" s="1909"/>
      <c r="AM28" s="1333" t="s">
        <v>1614</v>
      </c>
      <c r="AN28" s="1335">
        <v>13</v>
      </c>
      <c r="AO28" s="1335">
        <v>13</v>
      </c>
      <c r="AP28" s="1335">
        <v>13</v>
      </c>
      <c r="AQ28" s="1335">
        <v>13</v>
      </c>
      <c r="AR28" s="1335" t="s">
        <v>1615</v>
      </c>
      <c r="AS28" s="1335" t="s">
        <v>1615</v>
      </c>
      <c r="AT28" s="1335" t="s">
        <v>1615</v>
      </c>
      <c r="AU28" s="1335">
        <v>21</v>
      </c>
      <c r="AV28" s="1335">
        <v>21</v>
      </c>
      <c r="BJ28" s="1907" t="s">
        <v>1616</v>
      </c>
      <c r="BK28" s="1908"/>
      <c r="BL28" s="1908"/>
      <c r="BM28" s="1908"/>
      <c r="BN28" s="1908"/>
      <c r="BO28" s="1908"/>
      <c r="BP28" s="1908"/>
      <c r="BQ28" s="1908"/>
      <c r="BR28" s="1908"/>
      <c r="BS28" s="1909"/>
      <c r="BU28" s="1907" t="s">
        <v>1617</v>
      </c>
      <c r="BV28" s="1908"/>
      <c r="BW28" s="1908"/>
      <c r="BX28" s="1908"/>
      <c r="BY28" s="1908"/>
      <c r="BZ28" s="1908"/>
      <c r="CA28" s="1908"/>
      <c r="CB28" s="1908"/>
      <c r="CC28" s="1908"/>
      <c r="CD28" s="1909"/>
      <c r="CF28" s="1907" t="s">
        <v>1618</v>
      </c>
      <c r="CG28" s="1908"/>
      <c r="CH28" s="1908"/>
      <c r="CI28" s="1908"/>
      <c r="CJ28" s="1908"/>
      <c r="CK28" s="1908"/>
      <c r="CL28" s="1908"/>
      <c r="CM28" s="1908"/>
      <c r="CN28" s="1908"/>
      <c r="CO28" s="1909"/>
    </row>
    <row r="29" spans="3:93" ht="16.2" thickBot="1" x14ac:dyDescent="0.35">
      <c r="C29" s="1933" t="s">
        <v>1619</v>
      </c>
      <c r="D29" s="1934"/>
      <c r="N29" s="1915" t="s">
        <v>1620</v>
      </c>
      <c r="O29" s="1916"/>
      <c r="P29" s="1916"/>
      <c r="Q29" s="1916"/>
      <c r="R29" s="1916"/>
      <c r="S29" s="1916"/>
      <c r="T29" s="1916"/>
      <c r="U29" s="1916"/>
      <c r="V29" s="1916"/>
      <c r="W29" s="1917"/>
      <c r="Y29" s="1915" t="s">
        <v>1621</v>
      </c>
      <c r="Z29" s="1916"/>
      <c r="AA29" s="1916"/>
      <c r="AB29" s="1916"/>
      <c r="AC29" s="1916"/>
      <c r="AD29" s="1916"/>
      <c r="AE29" s="1916"/>
      <c r="AF29" s="1916"/>
      <c r="AG29" s="1916"/>
      <c r="AH29" s="1917"/>
      <c r="AM29" s="1333" t="s">
        <v>1622</v>
      </c>
      <c r="AN29" s="1351" t="s">
        <v>1623</v>
      </c>
      <c r="AO29" s="1351" t="s">
        <v>1624</v>
      </c>
      <c r="AP29" s="1351" t="s">
        <v>1625</v>
      </c>
      <c r="AQ29" s="1351" t="s">
        <v>1626</v>
      </c>
      <c r="AR29" s="1351" t="s">
        <v>1627</v>
      </c>
      <c r="AS29" s="1351" t="s">
        <v>1627</v>
      </c>
      <c r="AT29" s="1351" t="s">
        <v>1627</v>
      </c>
      <c r="AU29" s="1351" t="s">
        <v>1628</v>
      </c>
      <c r="AV29" s="1351" t="s">
        <v>1629</v>
      </c>
      <c r="BJ29" s="1915" t="s">
        <v>1630</v>
      </c>
      <c r="BK29" s="1916"/>
      <c r="BL29" s="1916"/>
      <c r="BM29" s="1916"/>
      <c r="BN29" s="1916"/>
      <c r="BO29" s="1916"/>
      <c r="BP29" s="1916"/>
      <c r="BQ29" s="1916"/>
      <c r="BR29" s="1916"/>
      <c r="BS29" s="1917"/>
      <c r="BU29" s="1915" t="s">
        <v>1631</v>
      </c>
      <c r="BV29" s="1916"/>
      <c r="BW29" s="1916"/>
      <c r="BX29" s="1916"/>
      <c r="BY29" s="1916"/>
      <c r="BZ29" s="1916"/>
      <c r="CA29" s="1916"/>
      <c r="CB29" s="1916"/>
      <c r="CC29" s="1916"/>
      <c r="CD29" s="1917"/>
      <c r="CF29" s="1915" t="s">
        <v>1632</v>
      </c>
      <c r="CG29" s="1916"/>
      <c r="CH29" s="1916"/>
      <c r="CI29" s="1916"/>
      <c r="CJ29" s="1916"/>
      <c r="CK29" s="1916"/>
      <c r="CL29" s="1916"/>
      <c r="CM29" s="1916"/>
      <c r="CN29" s="1916"/>
      <c r="CO29" s="1917"/>
    </row>
    <row r="30" spans="3:93" x14ac:dyDescent="0.3">
      <c r="C30" s="1352" t="s">
        <v>1633</v>
      </c>
      <c r="D30" s="1353" t="s">
        <v>1634</v>
      </c>
      <c r="N30" s="1323" t="s">
        <v>510</v>
      </c>
      <c r="O30" s="1324" t="s">
        <v>1430</v>
      </c>
      <c r="P30" s="1325" t="s">
        <v>1431</v>
      </c>
      <c r="Q30" s="1324" t="s">
        <v>1432</v>
      </c>
      <c r="R30" s="1325" t="s">
        <v>1433</v>
      </c>
      <c r="S30" s="1324" t="s">
        <v>1434</v>
      </c>
      <c r="T30" s="1325" t="s">
        <v>1435</v>
      </c>
      <c r="U30" s="1324" t="s">
        <v>1436</v>
      </c>
      <c r="V30" s="1324" t="s">
        <v>1437</v>
      </c>
      <c r="W30" s="1324" t="s">
        <v>1438</v>
      </c>
      <c r="Y30" s="1323" t="s">
        <v>510</v>
      </c>
      <c r="Z30" s="1324" t="s">
        <v>1430</v>
      </c>
      <c r="AA30" s="1325" t="s">
        <v>1431</v>
      </c>
      <c r="AB30" s="1324" t="s">
        <v>1432</v>
      </c>
      <c r="AC30" s="1325" t="s">
        <v>1433</v>
      </c>
      <c r="AD30" s="1324" t="s">
        <v>1434</v>
      </c>
      <c r="AE30" s="1325" t="s">
        <v>1435</v>
      </c>
      <c r="AF30" s="1324" t="s">
        <v>1436</v>
      </c>
      <c r="AG30" s="1324" t="s">
        <v>1437</v>
      </c>
      <c r="AH30" s="1324" t="s">
        <v>1438</v>
      </c>
      <c r="AM30" s="1333" t="s">
        <v>1635</v>
      </c>
      <c r="AN30" s="1335">
        <v>13</v>
      </c>
      <c r="AO30" s="1335">
        <v>13</v>
      </c>
      <c r="AP30" s="1335">
        <v>19</v>
      </c>
      <c r="AQ30" s="1335">
        <v>19</v>
      </c>
      <c r="AR30" s="1335" t="s">
        <v>1636</v>
      </c>
      <c r="AS30" s="1335" t="s">
        <v>1636</v>
      </c>
      <c r="AT30" s="1335" t="s">
        <v>1636</v>
      </c>
      <c r="AU30" s="1335" t="s">
        <v>1637</v>
      </c>
      <c r="AV30" s="1335" t="s">
        <v>1637</v>
      </c>
      <c r="BJ30" s="1323" t="s">
        <v>510</v>
      </c>
      <c r="BK30" s="1324" t="s">
        <v>1430</v>
      </c>
      <c r="BL30" s="1325" t="s">
        <v>1431</v>
      </c>
      <c r="BM30" s="1324" t="s">
        <v>1432</v>
      </c>
      <c r="BN30" s="1325" t="s">
        <v>1433</v>
      </c>
      <c r="BO30" s="1324" t="s">
        <v>1434</v>
      </c>
      <c r="BP30" s="1325" t="s">
        <v>1435</v>
      </c>
      <c r="BQ30" s="1324" t="s">
        <v>1436</v>
      </c>
      <c r="BR30" s="1324" t="s">
        <v>1437</v>
      </c>
      <c r="BS30" s="1324" t="s">
        <v>1438</v>
      </c>
      <c r="BU30" s="1323" t="s">
        <v>510</v>
      </c>
      <c r="BV30" s="1324" t="s">
        <v>1430</v>
      </c>
      <c r="BW30" s="1325" t="s">
        <v>1431</v>
      </c>
      <c r="BX30" s="1324" t="s">
        <v>1432</v>
      </c>
      <c r="BY30" s="1325" t="s">
        <v>1433</v>
      </c>
      <c r="BZ30" s="1324" t="s">
        <v>1434</v>
      </c>
      <c r="CA30" s="1325" t="s">
        <v>1435</v>
      </c>
      <c r="CB30" s="1324" t="s">
        <v>1436</v>
      </c>
      <c r="CC30" s="1324" t="s">
        <v>1437</v>
      </c>
      <c r="CD30" s="1324" t="s">
        <v>1438</v>
      </c>
      <c r="CF30" s="1323" t="s">
        <v>510</v>
      </c>
      <c r="CG30" s="1324" t="s">
        <v>1430</v>
      </c>
      <c r="CH30" s="1325" t="s">
        <v>1431</v>
      </c>
      <c r="CI30" s="1324" t="s">
        <v>1432</v>
      </c>
      <c r="CJ30" s="1325" t="s">
        <v>1433</v>
      </c>
      <c r="CK30" s="1324" t="s">
        <v>1434</v>
      </c>
      <c r="CL30" s="1325" t="s">
        <v>1435</v>
      </c>
      <c r="CM30" s="1324" t="s">
        <v>1436</v>
      </c>
      <c r="CN30" s="1324" t="s">
        <v>1437</v>
      </c>
      <c r="CO30" s="1324" t="s">
        <v>1438</v>
      </c>
    </row>
    <row r="31" spans="3:93" ht="17.399999999999999" x14ac:dyDescent="0.3">
      <c r="C31" s="309" t="s">
        <v>1638</v>
      </c>
      <c r="D31" s="1354" t="s">
        <v>1639</v>
      </c>
      <c r="N31" s="1350" t="s">
        <v>1640</v>
      </c>
      <c r="O31" s="1334" t="s">
        <v>1447</v>
      </c>
      <c r="P31" s="1334" t="s">
        <v>1447</v>
      </c>
      <c r="Q31" s="1334" t="s">
        <v>1447</v>
      </c>
      <c r="R31" s="1334" t="s">
        <v>1641</v>
      </c>
      <c r="S31" s="1334" t="str">
        <f>IECC2009_R_WallsBelowGrade[CZ 5]</f>
        <v>R-7.5ci</v>
      </c>
      <c r="T31" s="1334" t="s">
        <v>1641</v>
      </c>
      <c r="U31" s="1334" t="s">
        <v>1641</v>
      </c>
      <c r="V31" s="1334" t="s">
        <v>1642</v>
      </c>
      <c r="W31" s="1334" t="s">
        <v>1555</v>
      </c>
      <c r="Y31" s="1350" t="s">
        <v>1640</v>
      </c>
      <c r="Z31" s="1334" t="s">
        <v>1447</v>
      </c>
      <c r="AA31" s="1334" t="s">
        <v>1447</v>
      </c>
      <c r="AB31" s="1334" t="s">
        <v>1447</v>
      </c>
      <c r="AC31" s="1334" t="s">
        <v>1641</v>
      </c>
      <c r="AD31" s="1334" t="str">
        <f>IECC2012_R_WallsBelowGrade[CZ 5]</f>
        <v>R-7.5ci</v>
      </c>
      <c r="AE31" s="1334" t="s">
        <v>1641</v>
      </c>
      <c r="AF31" s="1334" t="s">
        <v>1641</v>
      </c>
      <c r="AG31" s="1334" t="s">
        <v>1642</v>
      </c>
      <c r="AH31" s="1334" t="s">
        <v>1555</v>
      </c>
      <c r="AM31" s="1333" t="s">
        <v>1643</v>
      </c>
      <c r="AN31" s="1335">
        <v>0</v>
      </c>
      <c r="AO31" s="1335">
        <v>0</v>
      </c>
      <c r="AP31" s="1351" t="s">
        <v>1644</v>
      </c>
      <c r="AQ31" s="1351" t="s">
        <v>1645</v>
      </c>
      <c r="AR31" s="1351" t="s">
        <v>1645</v>
      </c>
      <c r="AS31" s="1351" t="s">
        <v>1645</v>
      </c>
      <c r="AT31" s="1351" t="s">
        <v>1628</v>
      </c>
      <c r="AU31" s="1351" t="s">
        <v>1628</v>
      </c>
      <c r="AV31" s="1351" t="s">
        <v>1628</v>
      </c>
      <c r="BJ31" s="1350" t="s">
        <v>1646</v>
      </c>
      <c r="BK31" s="1334" t="s">
        <v>1647</v>
      </c>
      <c r="BL31" s="1334" t="s">
        <v>1647</v>
      </c>
      <c r="BM31" s="1334" t="s">
        <v>1647</v>
      </c>
      <c r="BN31" s="1334" t="s">
        <v>1648</v>
      </c>
      <c r="BO31" s="1334" t="s">
        <v>1648</v>
      </c>
      <c r="BP31" s="1334" t="s">
        <v>1648</v>
      </c>
      <c r="BQ31" s="1334" t="s">
        <v>1648</v>
      </c>
      <c r="BR31" s="1334" t="s">
        <v>1649</v>
      </c>
      <c r="BS31" s="1334" t="s">
        <v>1650</v>
      </c>
      <c r="BU31" s="1350" t="s">
        <v>1646</v>
      </c>
      <c r="BV31" s="1334" t="s">
        <v>1647</v>
      </c>
      <c r="BW31" s="1334" t="s">
        <v>1647</v>
      </c>
      <c r="BX31" s="1334" t="s">
        <v>1647</v>
      </c>
      <c r="BY31" s="1334" t="s">
        <v>1647</v>
      </c>
      <c r="BZ31" s="1334" t="s">
        <v>1648</v>
      </c>
      <c r="CA31" s="1334" t="s">
        <v>1648</v>
      </c>
      <c r="CB31" s="1334" t="s">
        <v>1648</v>
      </c>
      <c r="CC31" s="1334" t="s">
        <v>1648</v>
      </c>
      <c r="CD31" s="1334" t="s">
        <v>1648</v>
      </c>
      <c r="CF31" s="1350" t="s">
        <v>1646</v>
      </c>
      <c r="CG31" s="1334" t="s">
        <v>1647</v>
      </c>
      <c r="CH31" s="1334" t="s">
        <v>1647</v>
      </c>
      <c r="CI31" s="1334" t="s">
        <v>1647</v>
      </c>
      <c r="CJ31" s="1334" t="s">
        <v>1648</v>
      </c>
      <c r="CK31" s="1334" t="s">
        <v>1648</v>
      </c>
      <c r="CL31" s="1334" t="s">
        <v>1648</v>
      </c>
      <c r="CM31" s="1334" t="s">
        <v>1648</v>
      </c>
      <c r="CN31" s="1334" t="s">
        <v>1649</v>
      </c>
      <c r="CO31" s="1334" t="s">
        <v>1649</v>
      </c>
    </row>
    <row r="32" spans="3:93" ht="16.2" thickBot="1" x14ac:dyDescent="0.35">
      <c r="C32" s="309" t="s">
        <v>1651</v>
      </c>
      <c r="D32" s="1354" t="s">
        <v>1652</v>
      </c>
      <c r="N32" s="797"/>
      <c r="O32" s="797"/>
      <c r="P32" s="797"/>
      <c r="Q32" s="797"/>
      <c r="R32" s="1355"/>
      <c r="S32" s="1355"/>
      <c r="T32" s="797"/>
      <c r="U32" s="797"/>
      <c r="V32" s="797"/>
      <c r="W32" s="797"/>
      <c r="Y32" s="797"/>
      <c r="Z32" s="797"/>
      <c r="AA32" s="797"/>
      <c r="AB32" s="797"/>
      <c r="AC32" s="1355"/>
      <c r="AD32" s="1355"/>
      <c r="AE32" s="797"/>
      <c r="AF32" s="797"/>
      <c r="AG32" s="797"/>
      <c r="AH32" s="797"/>
      <c r="AM32" s="1333" t="s">
        <v>1653</v>
      </c>
      <c r="AN32" s="1335" t="s">
        <v>1447</v>
      </c>
      <c r="AO32" s="1335" t="s">
        <v>1447</v>
      </c>
      <c r="AP32" s="1335" t="s">
        <v>1447</v>
      </c>
      <c r="AQ32" s="1335" t="s">
        <v>1654</v>
      </c>
      <c r="AR32" s="1335" t="s">
        <v>1654</v>
      </c>
      <c r="AS32" s="1335" t="s">
        <v>1654</v>
      </c>
      <c r="AT32" s="1335" t="s">
        <v>1655</v>
      </c>
      <c r="AU32" s="1335" t="s">
        <v>1655</v>
      </c>
      <c r="AV32" s="1335" t="s">
        <v>1655</v>
      </c>
      <c r="BJ32" s="797"/>
      <c r="BK32" s="797"/>
      <c r="BL32" s="797"/>
      <c r="BM32" s="797"/>
      <c r="BN32" s="1355"/>
      <c r="BO32" s="1355"/>
      <c r="BP32" s="797"/>
      <c r="BQ32" s="797"/>
      <c r="BR32" s="797"/>
      <c r="BS32" s="797"/>
    </row>
    <row r="33" spans="3:93" ht="16.2" thickBot="1" x14ac:dyDescent="0.35">
      <c r="C33" s="309" t="s">
        <v>1656</v>
      </c>
      <c r="D33" s="1354" t="s">
        <v>1657</v>
      </c>
      <c r="N33" s="1907" t="s">
        <v>1658</v>
      </c>
      <c r="O33" s="1908"/>
      <c r="P33" s="1908"/>
      <c r="Q33" s="1908"/>
      <c r="R33" s="1908"/>
      <c r="S33" s="1908"/>
      <c r="T33" s="1908"/>
      <c r="U33" s="1908"/>
      <c r="V33" s="1908"/>
      <c r="W33" s="1909"/>
      <c r="Y33" s="1907" t="s">
        <v>1659</v>
      </c>
      <c r="Z33" s="1908"/>
      <c r="AA33" s="1908"/>
      <c r="AB33" s="1908"/>
      <c r="AC33" s="1908"/>
      <c r="AD33" s="1908"/>
      <c r="AE33" s="1908"/>
      <c r="AF33" s="1908"/>
      <c r="AG33" s="1908"/>
      <c r="AH33" s="1909"/>
      <c r="AM33" s="1333" t="s">
        <v>1660</v>
      </c>
      <c r="AN33" s="1335">
        <v>0</v>
      </c>
      <c r="AO33" s="1335">
        <v>0</v>
      </c>
      <c r="AP33" s="1351" t="s">
        <v>1661</v>
      </c>
      <c r="AQ33" s="1351" t="s">
        <v>1645</v>
      </c>
      <c r="AR33" s="1351" t="s">
        <v>1645</v>
      </c>
      <c r="AS33" s="1351" t="s">
        <v>1645</v>
      </c>
      <c r="AT33" s="1351" t="s">
        <v>1645</v>
      </c>
      <c r="AU33" s="1351" t="s">
        <v>1645</v>
      </c>
      <c r="AV33" s="1351" t="s">
        <v>1645</v>
      </c>
      <c r="BJ33" s="1907" t="s">
        <v>1662</v>
      </c>
      <c r="BK33" s="1908"/>
      <c r="BL33" s="1908"/>
      <c r="BM33" s="1908"/>
      <c r="BN33" s="1908"/>
      <c r="BO33" s="1908"/>
      <c r="BP33" s="1908"/>
      <c r="BQ33" s="1908"/>
      <c r="BR33" s="1908"/>
      <c r="BS33" s="1909"/>
      <c r="BU33" s="1907" t="s">
        <v>1663</v>
      </c>
      <c r="BV33" s="1908"/>
      <c r="BW33" s="1908"/>
      <c r="BX33" s="1908"/>
      <c r="BY33" s="1908"/>
      <c r="BZ33" s="1908"/>
      <c r="CA33" s="1908"/>
      <c r="CB33" s="1908"/>
      <c r="CC33" s="1908"/>
      <c r="CD33" s="1909"/>
      <c r="CF33" s="1907" t="s">
        <v>1664</v>
      </c>
      <c r="CG33" s="1908"/>
      <c r="CH33" s="1908"/>
      <c r="CI33" s="1908"/>
      <c r="CJ33" s="1908"/>
      <c r="CK33" s="1908"/>
      <c r="CL33" s="1908"/>
      <c r="CM33" s="1908"/>
      <c r="CN33" s="1908"/>
      <c r="CO33" s="1909"/>
    </row>
    <row r="34" spans="3:93" ht="16.2" thickBot="1" x14ac:dyDescent="0.35">
      <c r="C34" s="309" t="s">
        <v>1665</v>
      </c>
      <c r="D34" s="1354" t="s">
        <v>1666</v>
      </c>
      <c r="N34" s="1915" t="s">
        <v>1667</v>
      </c>
      <c r="O34" s="1916"/>
      <c r="P34" s="1916"/>
      <c r="Q34" s="1916"/>
      <c r="R34" s="1916"/>
      <c r="S34" s="1916"/>
      <c r="T34" s="1916"/>
      <c r="U34" s="1916"/>
      <c r="V34" s="1916"/>
      <c r="W34" s="1917"/>
      <c r="Y34" s="1915" t="s">
        <v>1668</v>
      </c>
      <c r="Z34" s="1916"/>
      <c r="AA34" s="1916"/>
      <c r="AB34" s="1916"/>
      <c r="AC34" s="1916"/>
      <c r="AD34" s="1916"/>
      <c r="AE34" s="1916"/>
      <c r="AF34" s="1916"/>
      <c r="AG34" s="1916"/>
      <c r="AH34" s="1917"/>
      <c r="BJ34" s="1915" t="s">
        <v>1669</v>
      </c>
      <c r="BK34" s="1916"/>
      <c r="BL34" s="1916"/>
      <c r="BM34" s="1916"/>
      <c r="BN34" s="1916"/>
      <c r="BO34" s="1916"/>
      <c r="BP34" s="1916"/>
      <c r="BQ34" s="1916"/>
      <c r="BR34" s="1916"/>
      <c r="BS34" s="1917"/>
      <c r="BU34" s="1915" t="s">
        <v>1670</v>
      </c>
      <c r="BV34" s="1916"/>
      <c r="BW34" s="1916"/>
      <c r="BX34" s="1916"/>
      <c r="BY34" s="1916"/>
      <c r="BZ34" s="1916"/>
      <c r="CA34" s="1916"/>
      <c r="CB34" s="1916"/>
      <c r="CC34" s="1916"/>
      <c r="CD34" s="1917"/>
      <c r="CF34" s="1915" t="s">
        <v>1671</v>
      </c>
      <c r="CG34" s="1916"/>
      <c r="CH34" s="1916"/>
      <c r="CI34" s="1916"/>
      <c r="CJ34" s="1916"/>
      <c r="CK34" s="1916"/>
      <c r="CL34" s="1916"/>
      <c r="CM34" s="1916"/>
      <c r="CN34" s="1916"/>
      <c r="CO34" s="1917"/>
    </row>
    <row r="35" spans="3:93" ht="16.2" thickBot="1" x14ac:dyDescent="0.35">
      <c r="C35" s="309" t="s">
        <v>1672</v>
      </c>
      <c r="D35" s="1354" t="s">
        <v>1673</v>
      </c>
      <c r="N35" s="1323" t="s">
        <v>510</v>
      </c>
      <c r="O35" s="1324" t="s">
        <v>1430</v>
      </c>
      <c r="P35" s="1325" t="s">
        <v>1431</v>
      </c>
      <c r="Q35" s="1324" t="s">
        <v>1432</v>
      </c>
      <c r="R35" s="1325" t="s">
        <v>1433</v>
      </c>
      <c r="S35" s="1324" t="s">
        <v>1434</v>
      </c>
      <c r="T35" s="1325" t="s">
        <v>1435</v>
      </c>
      <c r="U35" s="1324" t="s">
        <v>1436</v>
      </c>
      <c r="V35" s="1324" t="s">
        <v>1437</v>
      </c>
      <c r="W35" s="1324" t="s">
        <v>1438</v>
      </c>
      <c r="Y35" s="1323" t="s">
        <v>510</v>
      </c>
      <c r="Z35" s="1324" t="s">
        <v>1430</v>
      </c>
      <c r="AA35" s="1325" t="s">
        <v>1431</v>
      </c>
      <c r="AB35" s="1324" t="s">
        <v>1432</v>
      </c>
      <c r="AC35" s="1325" t="s">
        <v>1433</v>
      </c>
      <c r="AD35" s="1324" t="s">
        <v>1434</v>
      </c>
      <c r="AE35" s="1325" t="s">
        <v>1435</v>
      </c>
      <c r="AF35" s="1324" t="s">
        <v>1436</v>
      </c>
      <c r="AG35" s="1324" t="s">
        <v>1437</v>
      </c>
      <c r="AH35" s="1324" t="s">
        <v>1438</v>
      </c>
      <c r="AM35" s="1907" t="s">
        <v>1674</v>
      </c>
      <c r="AN35" s="1908"/>
      <c r="AO35" s="1908"/>
      <c r="AP35" s="1908"/>
      <c r="AQ35" s="1908"/>
      <c r="AR35" s="1908"/>
      <c r="AS35" s="1908"/>
      <c r="AT35" s="1908"/>
      <c r="AU35" s="1908"/>
      <c r="AV35" s="1909"/>
      <c r="BJ35" s="1323" t="s">
        <v>510</v>
      </c>
      <c r="BK35" s="1324" t="s">
        <v>1430</v>
      </c>
      <c r="BL35" s="1325" t="s">
        <v>1431</v>
      </c>
      <c r="BM35" s="1324" t="s">
        <v>1432</v>
      </c>
      <c r="BN35" s="1325" t="s">
        <v>1433</v>
      </c>
      <c r="BO35" s="1324" t="s">
        <v>1434</v>
      </c>
      <c r="BP35" s="1325" t="s">
        <v>1435</v>
      </c>
      <c r="BQ35" s="1324" t="s">
        <v>1436</v>
      </c>
      <c r="BR35" s="1324" t="s">
        <v>1437</v>
      </c>
      <c r="BS35" s="1324" t="s">
        <v>1438</v>
      </c>
      <c r="BU35" s="1323" t="s">
        <v>510</v>
      </c>
      <c r="BV35" s="1324" t="s">
        <v>1430</v>
      </c>
      <c r="BW35" s="1325" t="s">
        <v>1431</v>
      </c>
      <c r="BX35" s="1324" t="s">
        <v>1432</v>
      </c>
      <c r="BY35" s="1325" t="s">
        <v>1433</v>
      </c>
      <c r="BZ35" s="1324" t="s">
        <v>1434</v>
      </c>
      <c r="CA35" s="1325" t="s">
        <v>1435</v>
      </c>
      <c r="CB35" s="1324" t="s">
        <v>1436</v>
      </c>
      <c r="CC35" s="1324" t="s">
        <v>1437</v>
      </c>
      <c r="CD35" s="1324" t="s">
        <v>1438</v>
      </c>
      <c r="CF35" s="1323" t="s">
        <v>510</v>
      </c>
      <c r="CG35" s="1324" t="s">
        <v>1430</v>
      </c>
      <c r="CH35" s="1325" t="s">
        <v>1431</v>
      </c>
      <c r="CI35" s="1324" t="s">
        <v>1432</v>
      </c>
      <c r="CJ35" s="1325" t="s">
        <v>1433</v>
      </c>
      <c r="CK35" s="1324" t="s">
        <v>1434</v>
      </c>
      <c r="CL35" s="1325" t="s">
        <v>1435</v>
      </c>
      <c r="CM35" s="1324" t="s">
        <v>1436</v>
      </c>
      <c r="CN35" s="1324" t="s">
        <v>1437</v>
      </c>
      <c r="CO35" s="1324" t="s">
        <v>1438</v>
      </c>
    </row>
    <row r="36" spans="3:93" ht="93.9" customHeight="1" thickBot="1" x14ac:dyDescent="0.35">
      <c r="C36" s="309" t="s">
        <v>1675</v>
      </c>
      <c r="D36" s="1354" t="s">
        <v>1676</v>
      </c>
      <c r="N36" s="1350" t="s">
        <v>1554</v>
      </c>
      <c r="O36" s="1334" t="s">
        <v>1447</v>
      </c>
      <c r="P36" s="1334" t="s">
        <v>1677</v>
      </c>
      <c r="Q36" s="1334" t="s">
        <v>1678</v>
      </c>
      <c r="R36" s="1334" t="s">
        <v>1678</v>
      </c>
      <c r="S36" s="1334" t="s">
        <v>1678</v>
      </c>
      <c r="T36" s="1334" t="s">
        <v>1678</v>
      </c>
      <c r="U36" s="1334" t="s">
        <v>1678</v>
      </c>
      <c r="V36" s="1334" t="s">
        <v>1678</v>
      </c>
      <c r="W36" s="1334" t="s">
        <v>1678</v>
      </c>
      <c r="Y36" s="1350" t="s">
        <v>1554</v>
      </c>
      <c r="Z36" s="1334" t="s">
        <v>1679</v>
      </c>
      <c r="AA36" s="1334" t="s">
        <v>1678</v>
      </c>
      <c r="AB36" s="1334" t="s">
        <v>1678</v>
      </c>
      <c r="AC36" s="1334" t="s">
        <v>1678</v>
      </c>
      <c r="AD36" s="1334" t="s">
        <v>1678</v>
      </c>
      <c r="AE36" s="1334" t="s">
        <v>1678</v>
      </c>
      <c r="AF36" s="1334" t="s">
        <v>1678</v>
      </c>
      <c r="AG36" s="1334" t="s">
        <v>1678</v>
      </c>
      <c r="AH36" s="1334" t="s">
        <v>1678</v>
      </c>
      <c r="AM36" s="1929" t="s">
        <v>1680</v>
      </c>
      <c r="AN36" s="1916"/>
      <c r="AO36" s="1916"/>
      <c r="AP36" s="1916"/>
      <c r="AQ36" s="1916"/>
      <c r="AR36" s="1916"/>
      <c r="AS36" s="1916"/>
      <c r="AT36" s="1916"/>
      <c r="AU36" s="1916"/>
      <c r="AV36" s="1917"/>
      <c r="BJ36" s="1350" t="s">
        <v>1554</v>
      </c>
      <c r="BK36" s="1334" t="s">
        <v>1681</v>
      </c>
      <c r="BL36" s="1334" t="s">
        <v>1682</v>
      </c>
      <c r="BM36" s="1334" t="s">
        <v>1682</v>
      </c>
      <c r="BN36" s="1334" t="s">
        <v>1683</v>
      </c>
      <c r="BO36" s="1334" t="s">
        <v>1594</v>
      </c>
      <c r="BP36" s="1334" t="s">
        <v>1594</v>
      </c>
      <c r="BQ36" s="1334" t="s">
        <v>1584</v>
      </c>
      <c r="BR36" s="1334" t="s">
        <v>1608</v>
      </c>
      <c r="BS36" s="1334" t="s">
        <v>1608</v>
      </c>
      <c r="BU36" s="1350" t="s">
        <v>1554</v>
      </c>
      <c r="BV36" s="1334" t="s">
        <v>1681</v>
      </c>
      <c r="BW36" s="1334" t="s">
        <v>1684</v>
      </c>
      <c r="BX36" s="1334" t="s">
        <v>1684</v>
      </c>
      <c r="BY36" s="1334" t="s">
        <v>1682</v>
      </c>
      <c r="BZ36" s="1334" t="s">
        <v>1683</v>
      </c>
      <c r="CA36" s="1334" t="s">
        <v>1683</v>
      </c>
      <c r="CB36" s="1334" t="s">
        <v>1594</v>
      </c>
      <c r="CC36" s="1334" t="s">
        <v>1594</v>
      </c>
      <c r="CD36" s="1334" t="s">
        <v>1584</v>
      </c>
      <c r="CF36" s="1350" t="s">
        <v>1554</v>
      </c>
      <c r="CG36" s="1334" t="s">
        <v>1681</v>
      </c>
      <c r="CH36" s="1334" t="s">
        <v>1684</v>
      </c>
      <c r="CI36" s="1334" t="s">
        <v>1685</v>
      </c>
      <c r="CJ36" s="1334" t="s">
        <v>1685</v>
      </c>
      <c r="CK36" s="1334" t="s">
        <v>1683</v>
      </c>
      <c r="CL36" s="1334" t="s">
        <v>1683</v>
      </c>
      <c r="CM36" s="1334" t="s">
        <v>1594</v>
      </c>
      <c r="CN36" s="1334" t="s">
        <v>1522</v>
      </c>
      <c r="CO36" s="1334" t="s">
        <v>1522</v>
      </c>
    </row>
    <row r="37" spans="3:93" ht="31.2" x14ac:dyDescent="0.3">
      <c r="C37" s="309" t="s">
        <v>1686</v>
      </c>
      <c r="D37" s="1354" t="s">
        <v>1687</v>
      </c>
      <c r="N37" s="1356" t="s">
        <v>1688</v>
      </c>
      <c r="O37" s="1334" t="s">
        <v>1447</v>
      </c>
      <c r="P37" s="1334" t="s">
        <v>1689</v>
      </c>
      <c r="Q37" s="1334" t="s">
        <v>1689</v>
      </c>
      <c r="R37" s="1334" t="s">
        <v>1689</v>
      </c>
      <c r="S37" s="1334" t="str">
        <f>IECC2009_R_Floors[[#This Row],[CZ 5]]</f>
        <v>R-30</v>
      </c>
      <c r="T37" s="1334" t="s">
        <v>1689</v>
      </c>
      <c r="U37" s="1334" t="s">
        <v>1690</v>
      </c>
      <c r="V37" s="1334" t="s">
        <v>1690</v>
      </c>
      <c r="W37" s="1334" t="s">
        <v>1690</v>
      </c>
      <c r="Y37" s="1356" t="s">
        <v>1688</v>
      </c>
      <c r="Z37" s="1334" t="s">
        <v>1447</v>
      </c>
      <c r="AA37" s="1334" t="s">
        <v>1689</v>
      </c>
      <c r="AB37" s="1334" t="s">
        <v>1689</v>
      </c>
      <c r="AC37" s="1334" t="s">
        <v>1689</v>
      </c>
      <c r="AD37" s="1334" t="str">
        <f>IECC2012_R_Floors[[#This Row],[CZ 5]]</f>
        <v>R-30</v>
      </c>
      <c r="AE37" s="1334" t="s">
        <v>1689</v>
      </c>
      <c r="AF37" s="1334" t="s">
        <v>1690</v>
      </c>
      <c r="AG37" s="1334" t="s">
        <v>1690</v>
      </c>
      <c r="AH37" s="1334" t="s">
        <v>1690</v>
      </c>
      <c r="AM37" s="1323" t="s">
        <v>510</v>
      </c>
      <c r="AN37" s="1324" t="s">
        <v>1430</v>
      </c>
      <c r="AO37" s="1325" t="s">
        <v>1431</v>
      </c>
      <c r="AP37" s="1324" t="s">
        <v>1432</v>
      </c>
      <c r="AQ37" s="1325" t="s">
        <v>1433</v>
      </c>
      <c r="AR37" s="1324" t="s">
        <v>1434</v>
      </c>
      <c r="AS37" s="1325" t="s">
        <v>1435</v>
      </c>
      <c r="AT37" s="1324" t="s">
        <v>1436</v>
      </c>
      <c r="AU37" s="1324" t="s">
        <v>1437</v>
      </c>
      <c r="AV37" s="1324" t="s">
        <v>1438</v>
      </c>
      <c r="BJ37" s="1356" t="s">
        <v>1691</v>
      </c>
      <c r="BK37" s="1334" t="s">
        <v>1692</v>
      </c>
      <c r="BL37" s="1334" t="s">
        <v>1564</v>
      </c>
      <c r="BM37" s="1334" t="s">
        <v>1693</v>
      </c>
      <c r="BN37" s="1334" t="s">
        <v>1693</v>
      </c>
      <c r="BO37" s="1334" t="s">
        <v>1693</v>
      </c>
      <c r="BP37" s="1334" t="s">
        <v>1693</v>
      </c>
      <c r="BQ37" s="1334" t="s">
        <v>1693</v>
      </c>
      <c r="BR37" s="1334" t="s">
        <v>1693</v>
      </c>
      <c r="BS37" s="1334" t="s">
        <v>1693</v>
      </c>
      <c r="BU37" s="1356" t="s">
        <v>1691</v>
      </c>
      <c r="BV37" s="1334" t="s">
        <v>1692</v>
      </c>
      <c r="BW37" s="1334" t="s">
        <v>1564</v>
      </c>
      <c r="BX37" s="1357" t="s">
        <v>1564</v>
      </c>
      <c r="BY37" s="1334" t="s">
        <v>1693</v>
      </c>
      <c r="BZ37" s="1334" t="s">
        <v>1693</v>
      </c>
      <c r="CA37" s="1334" t="s">
        <v>1693</v>
      </c>
      <c r="CB37" s="1334" t="s">
        <v>1693</v>
      </c>
      <c r="CC37" s="1334" t="s">
        <v>1693</v>
      </c>
      <c r="CD37" s="1334" t="s">
        <v>1693</v>
      </c>
      <c r="CF37" s="1356" t="s">
        <v>1691</v>
      </c>
      <c r="CG37" s="1334" t="s">
        <v>1694</v>
      </c>
      <c r="CH37" s="1334" t="s">
        <v>1693</v>
      </c>
      <c r="CI37" s="1334" t="s">
        <v>1693</v>
      </c>
      <c r="CJ37" s="1334" t="s">
        <v>1693</v>
      </c>
      <c r="CK37" s="1334" t="s">
        <v>1693</v>
      </c>
      <c r="CL37" s="1334" t="s">
        <v>1693</v>
      </c>
      <c r="CM37" s="1334" t="s">
        <v>1693</v>
      </c>
      <c r="CN37" s="1334" t="s">
        <v>1693</v>
      </c>
      <c r="CO37" s="1334" t="s">
        <v>1693</v>
      </c>
    </row>
    <row r="38" spans="3:93" ht="16.2" thickBot="1" x14ac:dyDescent="0.35">
      <c r="C38" s="309" t="s">
        <v>1695</v>
      </c>
      <c r="D38" s="1354" t="s">
        <v>1657</v>
      </c>
      <c r="AM38" s="1358" t="s">
        <v>1696</v>
      </c>
      <c r="AN38" s="1359">
        <v>1.2</v>
      </c>
      <c r="AO38" s="1359">
        <v>0.75</v>
      </c>
      <c r="AP38" s="1359">
        <v>0.65</v>
      </c>
      <c r="AQ38" s="1359">
        <v>0.4</v>
      </c>
      <c r="AR38" s="1359">
        <v>0.35</v>
      </c>
      <c r="AS38" s="1359">
        <v>0.35</v>
      </c>
      <c r="AT38" s="1359">
        <v>0.35</v>
      </c>
      <c r="AU38" s="1359">
        <v>0.35</v>
      </c>
      <c r="AV38" s="1359">
        <v>0.35</v>
      </c>
    </row>
    <row r="39" spans="3:93" ht="16.2" thickBot="1" x14ac:dyDescent="0.35">
      <c r="C39" s="309" t="s">
        <v>1697</v>
      </c>
      <c r="D39" s="1354" t="s">
        <v>1698</v>
      </c>
      <c r="N39" s="1907" t="s">
        <v>1699</v>
      </c>
      <c r="O39" s="1908"/>
      <c r="P39" s="1908"/>
      <c r="Q39" s="1908"/>
      <c r="R39" s="1908"/>
      <c r="S39" s="1908"/>
      <c r="T39" s="1908"/>
      <c r="U39" s="1908"/>
      <c r="V39" s="1908"/>
      <c r="W39" s="1909"/>
      <c r="Y39" s="1907" t="s">
        <v>1700</v>
      </c>
      <c r="Z39" s="1908"/>
      <c r="AA39" s="1908"/>
      <c r="AB39" s="1908"/>
      <c r="AC39" s="1908"/>
      <c r="AD39" s="1908"/>
      <c r="AE39" s="1908"/>
      <c r="AF39" s="1908"/>
      <c r="AG39" s="1908"/>
      <c r="AH39" s="1909"/>
      <c r="AM39" s="1358" t="s">
        <v>1701</v>
      </c>
      <c r="AN39" s="1359">
        <v>1.2</v>
      </c>
      <c r="AO39" s="1359">
        <v>0.7</v>
      </c>
      <c r="AP39" s="1359">
        <v>0.6</v>
      </c>
      <c r="AQ39" s="1359">
        <v>0.5</v>
      </c>
      <c r="AR39" s="1359">
        <v>0.45</v>
      </c>
      <c r="AS39" s="1359">
        <v>0.45</v>
      </c>
      <c r="AT39" s="1359">
        <v>0.45</v>
      </c>
      <c r="AU39" s="1359">
        <v>0.4</v>
      </c>
      <c r="AV39" s="1359">
        <v>0.4</v>
      </c>
      <c r="BJ39" s="1907" t="s">
        <v>1702</v>
      </c>
      <c r="BK39" s="1908"/>
      <c r="BL39" s="1908"/>
      <c r="BM39" s="1908"/>
      <c r="BN39" s="1908"/>
      <c r="BO39" s="1908"/>
      <c r="BP39" s="1908"/>
      <c r="BQ39" s="1908"/>
      <c r="BR39" s="1908"/>
      <c r="BS39" s="1909"/>
      <c r="BU39" s="1907" t="s">
        <v>1703</v>
      </c>
      <c r="BV39" s="1908"/>
      <c r="BW39" s="1908"/>
      <c r="BX39" s="1908"/>
      <c r="BY39" s="1908"/>
      <c r="BZ39" s="1908"/>
      <c r="CA39" s="1908"/>
      <c r="CB39" s="1908"/>
      <c r="CC39" s="1908"/>
      <c r="CD39" s="1909"/>
      <c r="CF39" s="1907" t="s">
        <v>1704</v>
      </c>
      <c r="CG39" s="1908"/>
      <c r="CH39" s="1908"/>
      <c r="CI39" s="1908"/>
      <c r="CJ39" s="1908"/>
      <c r="CK39" s="1908"/>
      <c r="CL39" s="1908"/>
      <c r="CM39" s="1908"/>
      <c r="CN39" s="1908"/>
      <c r="CO39" s="1909"/>
    </row>
    <row r="40" spans="3:93" ht="16.2" thickBot="1" x14ac:dyDescent="0.35">
      <c r="C40" s="309" t="s">
        <v>1705</v>
      </c>
      <c r="D40" s="1354" t="s">
        <v>1706</v>
      </c>
      <c r="N40" s="1915" t="s">
        <v>1707</v>
      </c>
      <c r="O40" s="1916"/>
      <c r="P40" s="1916"/>
      <c r="Q40" s="1916"/>
      <c r="R40" s="1916"/>
      <c r="S40" s="1916"/>
      <c r="T40" s="1916"/>
      <c r="U40" s="1916"/>
      <c r="V40" s="1916"/>
      <c r="W40" s="1917"/>
      <c r="Y40" s="1915" t="s">
        <v>1708</v>
      </c>
      <c r="Z40" s="1916"/>
      <c r="AA40" s="1916"/>
      <c r="AB40" s="1916"/>
      <c r="AC40" s="1916"/>
      <c r="AD40" s="1916"/>
      <c r="AE40" s="1916"/>
      <c r="AF40" s="1916"/>
      <c r="AG40" s="1916"/>
      <c r="AH40" s="1917"/>
      <c r="AM40" s="1358" t="s">
        <v>1709</v>
      </c>
      <c r="AN40" s="1359">
        <v>1.2</v>
      </c>
      <c r="AO40" s="1359">
        <v>1.1000000000000001</v>
      </c>
      <c r="AP40" s="1359">
        <v>0.9</v>
      </c>
      <c r="AQ40" s="1359">
        <v>0.85</v>
      </c>
      <c r="AR40" s="1359">
        <v>0.8</v>
      </c>
      <c r="AS40" s="1359">
        <v>0.8</v>
      </c>
      <c r="AT40" s="1359">
        <v>0.8</v>
      </c>
      <c r="AU40" s="1359">
        <v>0.8</v>
      </c>
      <c r="AV40" s="1359">
        <v>0.8</v>
      </c>
      <c r="BJ40" s="1915" t="s">
        <v>1710</v>
      </c>
      <c r="BK40" s="1916"/>
      <c r="BL40" s="1916"/>
      <c r="BM40" s="1916"/>
      <c r="BN40" s="1916"/>
      <c r="BO40" s="1916"/>
      <c r="BP40" s="1916"/>
      <c r="BQ40" s="1916"/>
      <c r="BR40" s="1916"/>
      <c r="BS40" s="1917"/>
      <c r="BU40" s="1915" t="s">
        <v>1711</v>
      </c>
      <c r="BV40" s="1916"/>
      <c r="BW40" s="1916"/>
      <c r="BX40" s="1916"/>
      <c r="BY40" s="1916"/>
      <c r="BZ40" s="1916"/>
      <c r="CA40" s="1916"/>
      <c r="CB40" s="1916"/>
      <c r="CC40" s="1916"/>
      <c r="CD40" s="1917"/>
      <c r="CF40" s="1915" t="s">
        <v>1712</v>
      </c>
      <c r="CG40" s="1916"/>
      <c r="CH40" s="1916"/>
      <c r="CI40" s="1916"/>
      <c r="CJ40" s="1916"/>
      <c r="CK40" s="1916"/>
      <c r="CL40" s="1916"/>
      <c r="CM40" s="1916"/>
      <c r="CN40" s="1916"/>
      <c r="CO40" s="1917"/>
    </row>
    <row r="41" spans="3:93" ht="31.2" x14ac:dyDescent="0.3">
      <c r="C41" s="309" t="s">
        <v>1713</v>
      </c>
      <c r="D41" s="1354" t="s">
        <v>1714</v>
      </c>
      <c r="N41" s="1323" t="s">
        <v>510</v>
      </c>
      <c r="O41" s="1324" t="s">
        <v>1430</v>
      </c>
      <c r="P41" s="1325" t="s">
        <v>1431</v>
      </c>
      <c r="Q41" s="1324" t="s">
        <v>1432</v>
      </c>
      <c r="R41" s="1325" t="s">
        <v>1433</v>
      </c>
      <c r="S41" s="1324" t="s">
        <v>1434</v>
      </c>
      <c r="T41" s="1325" t="s">
        <v>1435</v>
      </c>
      <c r="U41" s="1324" t="s">
        <v>1436</v>
      </c>
      <c r="V41" s="1324" t="s">
        <v>1437</v>
      </c>
      <c r="W41" s="1324" t="s">
        <v>1438</v>
      </c>
      <c r="Y41" s="1323" t="s">
        <v>510</v>
      </c>
      <c r="Z41" s="1324" t="s">
        <v>1430</v>
      </c>
      <c r="AA41" s="1325" t="s">
        <v>1431</v>
      </c>
      <c r="AB41" s="1324" t="s">
        <v>1432</v>
      </c>
      <c r="AC41" s="1325" t="s">
        <v>1433</v>
      </c>
      <c r="AD41" s="1324" t="s">
        <v>1434</v>
      </c>
      <c r="AE41" s="1325" t="s">
        <v>1435</v>
      </c>
      <c r="AF41" s="1324" t="s">
        <v>1436</v>
      </c>
      <c r="AG41" s="1324" t="s">
        <v>1437</v>
      </c>
      <c r="AH41" s="1324" t="s">
        <v>1438</v>
      </c>
      <c r="AM41" s="1358" t="s">
        <v>1715</v>
      </c>
      <c r="AN41" s="1359">
        <v>1.2</v>
      </c>
      <c r="AO41" s="1359">
        <v>0.75</v>
      </c>
      <c r="AP41" s="1359">
        <v>0.65</v>
      </c>
      <c r="AQ41" s="1359">
        <v>0.55000000000000004</v>
      </c>
      <c r="AR41" s="1359">
        <v>0.55000000000000004</v>
      </c>
      <c r="AS41" s="1359">
        <v>0.55000000000000004</v>
      </c>
      <c r="AT41" s="1359">
        <v>0.55000000000000004</v>
      </c>
      <c r="AU41" s="1359">
        <v>0.45</v>
      </c>
      <c r="AV41" s="1359">
        <v>0.45</v>
      </c>
      <c r="BJ41" s="1323" t="s">
        <v>510</v>
      </c>
      <c r="BK41" s="1324" t="s">
        <v>1430</v>
      </c>
      <c r="BL41" s="1325" t="s">
        <v>1431</v>
      </c>
      <c r="BM41" s="1324" t="s">
        <v>1432</v>
      </c>
      <c r="BN41" s="1325" t="s">
        <v>1433</v>
      </c>
      <c r="BO41" s="1324" t="s">
        <v>1434</v>
      </c>
      <c r="BP41" s="1325" t="s">
        <v>1435</v>
      </c>
      <c r="BQ41" s="1324" t="s">
        <v>1436</v>
      </c>
      <c r="BR41" s="1324" t="s">
        <v>1437</v>
      </c>
      <c r="BS41" s="1324" t="s">
        <v>1438</v>
      </c>
      <c r="BU41" s="1323" t="s">
        <v>510</v>
      </c>
      <c r="BV41" s="1324" t="s">
        <v>1430</v>
      </c>
      <c r="BW41" s="1325" t="s">
        <v>1431</v>
      </c>
      <c r="BX41" s="1324" t="s">
        <v>1432</v>
      </c>
      <c r="BY41" s="1325" t="s">
        <v>1433</v>
      </c>
      <c r="BZ41" s="1324" t="s">
        <v>1434</v>
      </c>
      <c r="CA41" s="1325" t="s">
        <v>1435</v>
      </c>
      <c r="CB41" s="1324" t="s">
        <v>1436</v>
      </c>
      <c r="CC41" s="1324" t="s">
        <v>1437</v>
      </c>
      <c r="CD41" s="1324" t="s">
        <v>1438</v>
      </c>
      <c r="CF41" s="1323" t="s">
        <v>510</v>
      </c>
      <c r="CG41" s="1324" t="s">
        <v>1430</v>
      </c>
      <c r="CH41" s="1325" t="s">
        <v>1431</v>
      </c>
      <c r="CI41" s="1324" t="s">
        <v>1432</v>
      </c>
      <c r="CJ41" s="1325" t="s">
        <v>1433</v>
      </c>
      <c r="CK41" s="1324" t="s">
        <v>1434</v>
      </c>
      <c r="CL41" s="1325" t="s">
        <v>1435</v>
      </c>
      <c r="CM41" s="1324" t="s">
        <v>1436</v>
      </c>
      <c r="CN41" s="1324" t="s">
        <v>1437</v>
      </c>
      <c r="CO41" s="1324" t="s">
        <v>1438</v>
      </c>
    </row>
    <row r="42" spans="3:93" x14ac:dyDescent="0.3">
      <c r="C42" s="309" t="s">
        <v>1716</v>
      </c>
      <c r="D42" s="1354" t="s">
        <v>1657</v>
      </c>
      <c r="N42" s="1350" t="s">
        <v>1717</v>
      </c>
      <c r="O42" s="1334" t="s">
        <v>1447</v>
      </c>
      <c r="P42" s="1334" t="s">
        <v>1447</v>
      </c>
      <c r="Q42" s="1334" t="s">
        <v>1447</v>
      </c>
      <c r="R42" s="1334" t="s">
        <v>1718</v>
      </c>
      <c r="S42" s="1334" t="str">
        <f>IECC2009_R_SlabOnGradeFloors[[#This Row],[CZ 5]]</f>
        <v>R-10 for 24 in. below</v>
      </c>
      <c r="T42" s="1334" t="s">
        <v>1718</v>
      </c>
      <c r="U42" s="1334" t="s">
        <v>1719</v>
      </c>
      <c r="V42" s="1334" t="s">
        <v>1719</v>
      </c>
      <c r="W42" s="1334" t="s">
        <v>1720</v>
      </c>
      <c r="Y42" s="1350" t="s">
        <v>1717</v>
      </c>
      <c r="Z42" s="1334" t="s">
        <v>1447</v>
      </c>
      <c r="AA42" s="1334" t="s">
        <v>1447</v>
      </c>
      <c r="AB42" s="1334" t="s">
        <v>1447</v>
      </c>
      <c r="AC42" s="1334" t="s">
        <v>1718</v>
      </c>
      <c r="AD42" s="1334" t="s">
        <v>1718</v>
      </c>
      <c r="AE42" s="1334" t="s">
        <v>1718</v>
      </c>
      <c r="AF42" s="1334" t="s">
        <v>1719</v>
      </c>
      <c r="AG42" s="1334" t="s">
        <v>1719</v>
      </c>
      <c r="AH42" s="1334" t="s">
        <v>1720</v>
      </c>
      <c r="AM42" s="1358" t="s">
        <v>1721</v>
      </c>
      <c r="AN42" s="1359">
        <v>0.75</v>
      </c>
      <c r="AO42" s="1359">
        <v>0.75</v>
      </c>
      <c r="AP42" s="1359">
        <v>0.65</v>
      </c>
      <c r="AQ42" s="1359">
        <v>0.6</v>
      </c>
      <c r="AR42" s="1359">
        <v>0.6</v>
      </c>
      <c r="AS42" s="1359">
        <v>0.6</v>
      </c>
      <c r="AT42" s="1359">
        <v>0.6</v>
      </c>
      <c r="AU42" s="1359">
        <v>0.6</v>
      </c>
      <c r="AV42" s="1359">
        <v>0.6</v>
      </c>
      <c r="BJ42" s="1350" t="s">
        <v>1717</v>
      </c>
      <c r="BK42" s="1334" t="s">
        <v>1722</v>
      </c>
      <c r="BL42" s="1334" t="s">
        <v>1722</v>
      </c>
      <c r="BM42" s="1334" t="s">
        <v>1722</v>
      </c>
      <c r="BN42" s="1334" t="s">
        <v>1723</v>
      </c>
      <c r="BO42" s="1334" t="s">
        <v>1723</v>
      </c>
      <c r="BP42" s="1334" t="s">
        <v>1723</v>
      </c>
      <c r="BQ42" s="1334" t="s">
        <v>1724</v>
      </c>
      <c r="BR42" s="1334" t="s">
        <v>1724</v>
      </c>
      <c r="BS42" s="1334" t="s">
        <v>1725</v>
      </c>
      <c r="BU42" s="1350" t="s">
        <v>1717</v>
      </c>
      <c r="BV42" s="1334" t="s">
        <v>1722</v>
      </c>
      <c r="BW42" s="1334" t="s">
        <v>1722</v>
      </c>
      <c r="BX42" s="1334" t="s">
        <v>1722</v>
      </c>
      <c r="BY42" s="1334" t="s">
        <v>1722</v>
      </c>
      <c r="BZ42" s="1334" t="s">
        <v>1722</v>
      </c>
      <c r="CA42" s="1334" t="s">
        <v>1722</v>
      </c>
      <c r="CB42" s="1334" t="s">
        <v>1723</v>
      </c>
      <c r="CC42" s="1334" t="s">
        <v>1724</v>
      </c>
      <c r="CD42" s="1334" t="s">
        <v>1724</v>
      </c>
      <c r="CF42" s="1350" t="s">
        <v>1717</v>
      </c>
      <c r="CG42" s="1334" t="s">
        <v>1726</v>
      </c>
      <c r="CH42" s="1334" t="s">
        <v>1726</v>
      </c>
      <c r="CI42" s="1334" t="s">
        <v>1726</v>
      </c>
      <c r="CJ42" s="1334" t="s">
        <v>1727</v>
      </c>
      <c r="CK42" s="1334" t="s">
        <v>1727</v>
      </c>
      <c r="CL42" s="1334" t="s">
        <v>1727</v>
      </c>
      <c r="CM42" s="1334" t="s">
        <v>1727</v>
      </c>
      <c r="CN42" s="1334" t="s">
        <v>1728</v>
      </c>
      <c r="CO42" s="1334" t="s">
        <v>1728</v>
      </c>
    </row>
    <row r="43" spans="3:93" ht="31.2" x14ac:dyDescent="0.3">
      <c r="C43" s="309" t="s">
        <v>1729</v>
      </c>
      <c r="D43" s="1354" t="s">
        <v>1730</v>
      </c>
      <c r="N43" s="1356" t="s">
        <v>1731</v>
      </c>
      <c r="O43" s="1334" t="s">
        <v>1732</v>
      </c>
      <c r="P43" s="1334" t="s">
        <v>1732</v>
      </c>
      <c r="Q43" s="1334" t="s">
        <v>1718</v>
      </c>
      <c r="R43" s="1334" t="s">
        <v>1719</v>
      </c>
      <c r="S43" s="1334" t="str">
        <f>IECC2009_R_SlabOnGradeFloors[[#This Row],[CZ 5]]</f>
        <v>R-15 for 24 in. below</v>
      </c>
      <c r="T43" s="1334" t="s">
        <v>1719</v>
      </c>
      <c r="U43" s="1334" t="s">
        <v>1733</v>
      </c>
      <c r="V43" s="1334" t="s">
        <v>1733</v>
      </c>
      <c r="W43" s="1334" t="s">
        <v>1733</v>
      </c>
      <c r="Y43" s="1356" t="s">
        <v>1731</v>
      </c>
      <c r="Z43" s="1334" t="s">
        <v>1732</v>
      </c>
      <c r="AA43" s="1334" t="s">
        <v>1732</v>
      </c>
      <c r="AB43" s="1334" t="s">
        <v>1718</v>
      </c>
      <c r="AC43" s="1334" t="s">
        <v>1719</v>
      </c>
      <c r="AD43" s="1334" t="s">
        <v>1734</v>
      </c>
      <c r="AE43" s="1334" t="s">
        <v>1734</v>
      </c>
      <c r="AF43" s="1334" t="s">
        <v>1733</v>
      </c>
      <c r="AG43" s="1334" t="s">
        <v>1733</v>
      </c>
      <c r="AH43" s="1334" t="s">
        <v>1733</v>
      </c>
      <c r="AM43" s="1358" t="s">
        <v>1735</v>
      </c>
      <c r="AN43" s="1359">
        <v>0.25</v>
      </c>
      <c r="AO43" s="1359">
        <v>0.25</v>
      </c>
      <c r="AP43" s="1359">
        <v>0.25</v>
      </c>
      <c r="AQ43" s="1359">
        <v>0.4</v>
      </c>
      <c r="AR43" s="1359">
        <v>0.4</v>
      </c>
      <c r="AS43" s="1359">
        <v>0.4</v>
      </c>
      <c r="AT43" s="1359">
        <v>0.4</v>
      </c>
      <c r="AU43" s="1359">
        <v>0.45</v>
      </c>
      <c r="AV43" s="1359">
        <v>0.45</v>
      </c>
      <c r="BJ43" s="1356" t="s">
        <v>1731</v>
      </c>
      <c r="BK43" s="1334" t="s">
        <v>1736</v>
      </c>
      <c r="BL43" s="1334" t="s">
        <v>1736</v>
      </c>
      <c r="BM43" s="1334" t="s">
        <v>1737</v>
      </c>
      <c r="BN43" s="1334" t="s">
        <v>1738</v>
      </c>
      <c r="BO43" s="1334" t="s">
        <v>1738</v>
      </c>
      <c r="BP43" s="1334" t="s">
        <v>1738</v>
      </c>
      <c r="BQ43" s="1334" t="s">
        <v>1739</v>
      </c>
      <c r="BR43" s="1334" t="s">
        <v>1739</v>
      </c>
      <c r="BS43" s="1334" t="s">
        <v>1739</v>
      </c>
      <c r="BU43" s="1356" t="s">
        <v>1731</v>
      </c>
      <c r="BV43" s="1334" t="s">
        <v>1736</v>
      </c>
      <c r="BW43" s="1334" t="s">
        <v>1736</v>
      </c>
      <c r="BX43" s="1334" t="s">
        <v>1737</v>
      </c>
      <c r="BY43" s="1334" t="s">
        <v>1738</v>
      </c>
      <c r="BZ43" s="1334" t="s">
        <v>1738</v>
      </c>
      <c r="CA43" s="1334" t="s">
        <v>1738</v>
      </c>
      <c r="CB43" s="1334" t="s">
        <v>1738</v>
      </c>
      <c r="CC43" s="1334" t="s">
        <v>1740</v>
      </c>
      <c r="CD43" s="1334" t="s">
        <v>1739</v>
      </c>
      <c r="CF43" s="1356" t="s">
        <v>1731</v>
      </c>
      <c r="CG43" s="1334" t="s">
        <v>1741</v>
      </c>
      <c r="CH43" s="1334" t="s">
        <v>1741</v>
      </c>
      <c r="CI43" s="1334" t="s">
        <v>1741</v>
      </c>
      <c r="CJ43" s="1334" t="s">
        <v>1742</v>
      </c>
      <c r="CK43" s="1334" t="s">
        <v>1743</v>
      </c>
      <c r="CL43" s="1334" t="s">
        <v>1743</v>
      </c>
      <c r="CM43" s="1334" t="s">
        <v>1743</v>
      </c>
      <c r="CN43" s="1334" t="s">
        <v>1744</v>
      </c>
      <c r="CO43" s="1334" t="s">
        <v>1744</v>
      </c>
    </row>
    <row r="44" spans="3:93" ht="31.8" thickBot="1" x14ac:dyDescent="0.35">
      <c r="C44" s="309" t="s">
        <v>1745</v>
      </c>
      <c r="D44" s="1354" t="s">
        <v>1746</v>
      </c>
      <c r="AM44" s="1358" t="s">
        <v>1747</v>
      </c>
      <c r="AN44" s="1359">
        <v>0.33</v>
      </c>
      <c r="AO44" s="1359">
        <v>0.33</v>
      </c>
      <c r="AP44" s="1359">
        <v>0.33</v>
      </c>
      <c r="AQ44" s="1359" t="s">
        <v>1447</v>
      </c>
      <c r="AR44" s="1359" t="s">
        <v>1447</v>
      </c>
      <c r="AS44" s="1359" t="s">
        <v>1447</v>
      </c>
      <c r="AT44" s="1359" t="s">
        <v>1447</v>
      </c>
      <c r="AU44" s="1359" t="s">
        <v>1447</v>
      </c>
      <c r="AV44" s="1359" t="s">
        <v>1447</v>
      </c>
    </row>
    <row r="45" spans="3:93" ht="31.8" thickBot="1" x14ac:dyDescent="0.35">
      <c r="C45" s="309" t="s">
        <v>1748</v>
      </c>
      <c r="D45" s="1354" t="s">
        <v>1749</v>
      </c>
      <c r="N45" s="1907" t="s">
        <v>1750</v>
      </c>
      <c r="O45" s="1908"/>
      <c r="P45" s="1908"/>
      <c r="Q45" s="1908"/>
      <c r="R45" s="1908"/>
      <c r="S45" s="1908"/>
      <c r="T45" s="1908"/>
      <c r="U45" s="1908"/>
      <c r="V45" s="1908"/>
      <c r="W45" s="1909"/>
      <c r="Y45" s="1907" t="s">
        <v>1751</v>
      </c>
      <c r="Z45" s="1908"/>
      <c r="AA45" s="1908"/>
      <c r="AB45" s="1908"/>
      <c r="AC45" s="1908"/>
      <c r="AD45" s="1908"/>
      <c r="AE45" s="1908"/>
      <c r="AF45" s="1908"/>
      <c r="AG45" s="1908"/>
      <c r="AH45" s="1909"/>
      <c r="AM45" s="1358" t="s">
        <v>1752</v>
      </c>
      <c r="AN45" s="1359">
        <v>0.4</v>
      </c>
      <c r="AO45" s="1359">
        <v>0.4</v>
      </c>
      <c r="AP45" s="1359">
        <v>0.4</v>
      </c>
      <c r="AQ45" s="1359" t="s">
        <v>1447</v>
      </c>
      <c r="AR45" s="1359" t="s">
        <v>1447</v>
      </c>
      <c r="AS45" s="1359" t="s">
        <v>1447</v>
      </c>
      <c r="AT45" s="1359" t="s">
        <v>1447</v>
      </c>
      <c r="AU45" s="1359" t="s">
        <v>1447</v>
      </c>
      <c r="AV45" s="1359" t="s">
        <v>1447</v>
      </c>
      <c r="BJ45" s="1495"/>
      <c r="BK45" s="1495"/>
      <c r="BL45" s="1495"/>
      <c r="BM45" s="1495"/>
      <c r="BN45" s="1495"/>
      <c r="BO45" s="1495"/>
      <c r="BP45" s="1495"/>
      <c r="BQ45" s="1495"/>
      <c r="BR45" s="1495"/>
      <c r="BS45" s="1495"/>
    </row>
    <row r="46" spans="3:93" ht="16.2" thickBot="1" x14ac:dyDescent="0.35">
      <c r="C46" s="309" t="s">
        <v>1753</v>
      </c>
      <c r="D46" s="1354" t="s">
        <v>1657</v>
      </c>
      <c r="N46" s="1915" t="s">
        <v>1754</v>
      </c>
      <c r="O46" s="1916"/>
      <c r="P46" s="1916"/>
      <c r="Q46" s="1916"/>
      <c r="R46" s="1916"/>
      <c r="S46" s="1916"/>
      <c r="T46" s="1916"/>
      <c r="U46" s="1916"/>
      <c r="V46" s="1916"/>
      <c r="W46" s="1917"/>
      <c r="Y46" s="1915" t="s">
        <v>1755</v>
      </c>
      <c r="Z46" s="1916"/>
      <c r="AA46" s="1916"/>
      <c r="AB46" s="1916"/>
      <c r="AC46" s="1916"/>
      <c r="AD46" s="1916"/>
      <c r="AE46" s="1916"/>
      <c r="AF46" s="1916"/>
      <c r="AG46" s="1916"/>
      <c r="AH46" s="1917"/>
      <c r="AM46" s="1358" t="s">
        <v>1756</v>
      </c>
      <c r="AN46" s="1359">
        <v>0.35</v>
      </c>
      <c r="AO46" s="1359">
        <v>0.35</v>
      </c>
      <c r="AP46" s="1359">
        <v>0.35</v>
      </c>
      <c r="AQ46" s="1359">
        <v>0.4</v>
      </c>
      <c r="AR46" s="1359">
        <v>0.4</v>
      </c>
      <c r="AS46" s="1359">
        <v>0.4</v>
      </c>
      <c r="AT46" s="1359">
        <v>0.4</v>
      </c>
      <c r="AU46" s="1359" t="s">
        <v>1447</v>
      </c>
      <c r="AV46" s="1359" t="s">
        <v>1447</v>
      </c>
      <c r="BJ46" s="1918"/>
      <c r="BK46" s="1918"/>
      <c r="BL46" s="1918"/>
      <c r="BM46" s="1918"/>
      <c r="BN46" s="1918"/>
      <c r="BO46" s="1918"/>
      <c r="BP46" s="1918"/>
      <c r="BQ46" s="1918"/>
      <c r="BR46" s="1918"/>
      <c r="BS46" s="1918"/>
    </row>
    <row r="47" spans="3:93" ht="16.2" thickBot="1" x14ac:dyDescent="0.35">
      <c r="C47" s="309" t="s">
        <v>1757</v>
      </c>
      <c r="D47" s="1354" t="s">
        <v>1758</v>
      </c>
      <c r="N47" s="1323" t="s">
        <v>510</v>
      </c>
      <c r="O47" s="1324" t="s">
        <v>1430</v>
      </c>
      <c r="P47" s="1325" t="s">
        <v>1431</v>
      </c>
      <c r="Q47" s="1324" t="s">
        <v>1432</v>
      </c>
      <c r="R47" s="1325" t="s">
        <v>1433</v>
      </c>
      <c r="S47" s="1324" t="s">
        <v>1434</v>
      </c>
      <c r="T47" s="1325" t="s">
        <v>1435</v>
      </c>
      <c r="U47" s="1324" t="s">
        <v>1436</v>
      </c>
      <c r="V47" s="1324" t="s">
        <v>1437</v>
      </c>
      <c r="W47" s="1324" t="s">
        <v>1438</v>
      </c>
      <c r="Y47" s="1323" t="s">
        <v>510</v>
      </c>
      <c r="Z47" s="1324" t="s">
        <v>1430</v>
      </c>
      <c r="AA47" s="1325" t="s">
        <v>1431</v>
      </c>
      <c r="AB47" s="1324" t="s">
        <v>1432</v>
      </c>
      <c r="AC47" s="1325" t="s">
        <v>1433</v>
      </c>
      <c r="AD47" s="1324" t="s">
        <v>1434</v>
      </c>
      <c r="AE47" s="1325" t="s">
        <v>1435</v>
      </c>
      <c r="AF47" s="1324" t="s">
        <v>1436</v>
      </c>
      <c r="AG47" s="1324" t="s">
        <v>1437</v>
      </c>
      <c r="AH47" s="1324" t="s">
        <v>1438</v>
      </c>
      <c r="BJ47" s="1346"/>
      <c r="BK47" s="826"/>
      <c r="BL47" s="1326"/>
      <c r="BM47" s="826"/>
      <c r="BN47" s="1326"/>
      <c r="BO47" s="826"/>
      <c r="BP47" s="1326"/>
      <c r="BQ47" s="826"/>
      <c r="BR47" s="826"/>
      <c r="BS47" s="826"/>
    </row>
    <row r="48" spans="3:93" ht="16.2" thickBot="1" x14ac:dyDescent="0.35">
      <c r="C48" s="309" t="s">
        <v>1759</v>
      </c>
      <c r="D48" s="1354" t="s">
        <v>1760</v>
      </c>
      <c r="N48" s="1350" t="s">
        <v>1761</v>
      </c>
      <c r="O48" s="1334" t="s">
        <v>1762</v>
      </c>
      <c r="P48" s="1334" t="s">
        <v>1762</v>
      </c>
      <c r="Q48" s="1334" t="s">
        <v>1762</v>
      </c>
      <c r="R48" s="1334" t="s">
        <v>1762</v>
      </c>
      <c r="S48" s="1334" t="str">
        <f>IECC2009_R_OpaqueDoors[[#This Row],[CZ 5]]</f>
        <v>U-0.70</v>
      </c>
      <c r="T48" s="1334" t="s">
        <v>1762</v>
      </c>
      <c r="U48" s="1334" t="s">
        <v>1763</v>
      </c>
      <c r="V48" s="1334" t="s">
        <v>1763</v>
      </c>
      <c r="W48" s="1334" t="s">
        <v>1763</v>
      </c>
      <c r="Y48" s="1350" t="s">
        <v>1761</v>
      </c>
      <c r="Z48" s="1334" t="s">
        <v>1764</v>
      </c>
      <c r="AA48" s="1334" t="s">
        <v>1764</v>
      </c>
      <c r="AB48" s="1334" t="s">
        <v>1764</v>
      </c>
      <c r="AC48" s="1334" t="s">
        <v>1764</v>
      </c>
      <c r="AD48" s="1334" t="s">
        <v>1765</v>
      </c>
      <c r="AE48" s="1334" t="s">
        <v>1765</v>
      </c>
      <c r="AF48" s="1334" t="s">
        <v>1765</v>
      </c>
      <c r="AG48" s="1334" t="s">
        <v>1765</v>
      </c>
      <c r="AH48" s="1334" t="s">
        <v>1765</v>
      </c>
      <c r="AM48" s="1907" t="s">
        <v>1766</v>
      </c>
      <c r="AN48" s="1908"/>
      <c r="AO48" s="1908"/>
      <c r="AP48" s="1908"/>
      <c r="AQ48" s="1908"/>
      <c r="AR48" s="1908"/>
      <c r="AS48" s="1908"/>
      <c r="AT48" s="1908"/>
      <c r="AU48" s="1908"/>
      <c r="AV48" s="1909"/>
      <c r="BJ48" s="797"/>
      <c r="BK48" s="797"/>
      <c r="BL48" s="797"/>
      <c r="BM48" s="797"/>
      <c r="BN48" s="797"/>
      <c r="BO48" s="797"/>
      <c r="BP48" s="797"/>
      <c r="BQ48" s="797"/>
      <c r="BR48" s="797"/>
      <c r="BS48" s="797"/>
    </row>
    <row r="49" spans="3:71" ht="16.2" thickBot="1" x14ac:dyDescent="0.35">
      <c r="C49" s="309" t="s">
        <v>1767</v>
      </c>
      <c r="D49" s="1354" t="s">
        <v>1768</v>
      </c>
      <c r="N49" s="1356" t="s">
        <v>1769</v>
      </c>
      <c r="O49" s="1334" t="s">
        <v>1770</v>
      </c>
      <c r="P49" s="1334" t="s">
        <v>1770</v>
      </c>
      <c r="Q49" s="1334" t="s">
        <v>1770</v>
      </c>
      <c r="R49" s="1334" t="s">
        <v>1763</v>
      </c>
      <c r="S49" s="1334" t="str">
        <f>IECC2009_R_OpaqueDoors[[#This Row],[CZ 5]]</f>
        <v>U-0.50</v>
      </c>
      <c r="T49" s="1334" t="s">
        <v>1763</v>
      </c>
      <c r="U49" s="1334" t="s">
        <v>1763</v>
      </c>
      <c r="V49" s="1334" t="s">
        <v>1763</v>
      </c>
      <c r="W49" s="1334" t="s">
        <v>1763</v>
      </c>
      <c r="Y49" s="1356" t="s">
        <v>1769</v>
      </c>
      <c r="Z49" s="1334" t="s">
        <v>1771</v>
      </c>
      <c r="AA49" s="1334" t="s">
        <v>1771</v>
      </c>
      <c r="AB49" s="1334" t="s">
        <v>1771</v>
      </c>
      <c r="AC49" s="1334" t="s">
        <v>1771</v>
      </c>
      <c r="AD49" s="1334" t="s">
        <v>1771</v>
      </c>
      <c r="AE49" s="1334" t="s">
        <v>1771</v>
      </c>
      <c r="AF49" s="1334" t="s">
        <v>1771</v>
      </c>
      <c r="AG49" s="1334" t="s">
        <v>1771</v>
      </c>
      <c r="AH49" s="1334" t="s">
        <v>1771</v>
      </c>
      <c r="AM49" s="1929" t="s">
        <v>1772</v>
      </c>
      <c r="AN49" s="1916"/>
      <c r="AO49" s="1916"/>
      <c r="AP49" s="1916"/>
      <c r="AQ49" s="1916"/>
      <c r="AR49" s="1916"/>
      <c r="AS49" s="1916"/>
      <c r="AT49" s="1916"/>
      <c r="AU49" s="1916"/>
      <c r="AV49" s="1917"/>
      <c r="BJ49" s="1361"/>
      <c r="BK49" s="797"/>
      <c r="BL49" s="797"/>
      <c r="BM49" s="797"/>
      <c r="BN49" s="797"/>
      <c r="BO49" s="797"/>
      <c r="BP49" s="797"/>
      <c r="BQ49" s="797"/>
      <c r="BR49" s="797"/>
      <c r="BS49" s="797"/>
    </row>
    <row r="50" spans="3:71" ht="16.2" thickBot="1" x14ac:dyDescent="0.35">
      <c r="C50" s="309" t="s">
        <v>1773</v>
      </c>
      <c r="D50" s="1354" t="s">
        <v>1774</v>
      </c>
      <c r="AM50" s="1320" t="s">
        <v>510</v>
      </c>
      <c r="AN50" s="1324" t="s">
        <v>1430</v>
      </c>
      <c r="AO50" s="1325" t="s">
        <v>1431</v>
      </c>
      <c r="AP50" s="1324" t="s">
        <v>1432</v>
      </c>
      <c r="AQ50" s="1325" t="s">
        <v>1433</v>
      </c>
      <c r="AR50" s="1324" t="s">
        <v>1434</v>
      </c>
      <c r="AS50" s="1325" t="s">
        <v>1435</v>
      </c>
      <c r="AT50" s="1324" t="s">
        <v>1436</v>
      </c>
      <c r="AU50" s="1324" t="s">
        <v>1437</v>
      </c>
      <c r="AV50" s="1324" t="s">
        <v>1438</v>
      </c>
    </row>
    <row r="51" spans="3:71" x14ac:dyDescent="0.3">
      <c r="C51" s="309" t="s">
        <v>1775</v>
      </c>
      <c r="D51" s="1354" t="s">
        <v>1776</v>
      </c>
      <c r="N51" s="1930" t="s">
        <v>1777</v>
      </c>
      <c r="O51" s="1931"/>
      <c r="P51" s="1931"/>
      <c r="Q51" s="1931"/>
      <c r="R51" s="1931"/>
      <c r="S51" s="1931"/>
      <c r="T51" s="1931"/>
      <c r="U51" s="1931"/>
      <c r="V51" s="1931"/>
      <c r="W51" s="1932"/>
      <c r="Y51" s="1930" t="s">
        <v>1777</v>
      </c>
      <c r="Z51" s="1931"/>
      <c r="AA51" s="1931"/>
      <c r="AB51" s="1931"/>
      <c r="AC51" s="1931"/>
      <c r="AD51" s="1931"/>
      <c r="AE51" s="1931"/>
      <c r="AF51" s="1931"/>
      <c r="AG51" s="1931"/>
      <c r="AH51" s="1932"/>
      <c r="AM51" s="1333" t="s">
        <v>1580</v>
      </c>
      <c r="AN51" s="1362">
        <v>1.2</v>
      </c>
      <c r="AO51" s="1362">
        <v>0.65</v>
      </c>
      <c r="AP51" s="1362">
        <v>0.5</v>
      </c>
      <c r="AQ51" s="1362">
        <v>0.35</v>
      </c>
      <c r="AR51" s="1362">
        <v>0.35</v>
      </c>
      <c r="AS51" s="1362">
        <v>0.35</v>
      </c>
      <c r="AT51" s="1362">
        <v>0.35</v>
      </c>
      <c r="AU51" s="1362">
        <v>0.35</v>
      </c>
      <c r="AV51" s="1362">
        <v>0.35</v>
      </c>
      <c r="BJ51" s="1924"/>
      <c r="BK51" s="1924"/>
      <c r="BL51" s="1924"/>
      <c r="BM51" s="1924"/>
      <c r="BN51" s="1924"/>
      <c r="BO51" s="1924"/>
      <c r="BP51" s="1924"/>
      <c r="BQ51" s="1924"/>
      <c r="BR51" s="1924"/>
      <c r="BS51" s="1924"/>
    </row>
    <row r="52" spans="3:71" x14ac:dyDescent="0.3">
      <c r="C52" s="309" t="s">
        <v>1778</v>
      </c>
      <c r="D52" s="1354" t="s">
        <v>1779</v>
      </c>
      <c r="N52" s="1923" t="s">
        <v>1780</v>
      </c>
      <c r="O52" s="1924"/>
      <c r="P52" s="1924"/>
      <c r="Q52" s="1924"/>
      <c r="R52" s="1924"/>
      <c r="S52" s="1924"/>
      <c r="T52" s="1924"/>
      <c r="U52" s="1924"/>
      <c r="V52" s="1924"/>
      <c r="W52" s="1925"/>
      <c r="Y52" s="1923" t="s">
        <v>1780</v>
      </c>
      <c r="Z52" s="1924"/>
      <c r="AA52" s="1924"/>
      <c r="AB52" s="1924"/>
      <c r="AC52" s="1924"/>
      <c r="AD52" s="1924"/>
      <c r="AE52" s="1924"/>
      <c r="AF52" s="1924"/>
      <c r="AG52" s="1924"/>
      <c r="AH52" s="1925"/>
      <c r="AM52" s="1333" t="s">
        <v>1592</v>
      </c>
      <c r="AN52" s="1362">
        <v>0.75</v>
      </c>
      <c r="AO52" s="1362">
        <v>0.75</v>
      </c>
      <c r="AP52" s="1362">
        <v>0.65</v>
      </c>
      <c r="AQ52" s="1362">
        <v>0.6</v>
      </c>
      <c r="AR52" s="1362">
        <v>0.6</v>
      </c>
      <c r="AS52" s="1362">
        <v>0.6</v>
      </c>
      <c r="AT52" s="1362">
        <v>0.6</v>
      </c>
      <c r="AU52" s="1362">
        <v>0.6</v>
      </c>
      <c r="AV52" s="1362">
        <v>0.6</v>
      </c>
      <c r="BJ52" s="1924"/>
      <c r="BK52" s="1924"/>
      <c r="BL52" s="1924"/>
      <c r="BM52" s="1924"/>
      <c r="BN52" s="1924"/>
      <c r="BO52" s="1924"/>
      <c r="BP52" s="1924"/>
      <c r="BQ52" s="1924"/>
      <c r="BR52" s="1924"/>
      <c r="BS52" s="1924"/>
    </row>
    <row r="53" spans="3:71" x14ac:dyDescent="0.3">
      <c r="C53" s="309" t="s">
        <v>1781</v>
      </c>
      <c r="D53" s="1354" t="s">
        <v>1782</v>
      </c>
      <c r="N53" s="1923" t="s">
        <v>1783</v>
      </c>
      <c r="O53" s="1924"/>
      <c r="P53" s="1924"/>
      <c r="Q53" s="1924"/>
      <c r="R53" s="1924"/>
      <c r="S53" s="1924"/>
      <c r="T53" s="1924"/>
      <c r="U53" s="1924"/>
      <c r="V53" s="1924"/>
      <c r="W53" s="1925"/>
      <c r="Y53" s="1923" t="s">
        <v>1783</v>
      </c>
      <c r="Z53" s="1924"/>
      <c r="AA53" s="1924"/>
      <c r="AB53" s="1924"/>
      <c r="AC53" s="1924"/>
      <c r="AD53" s="1924"/>
      <c r="AE53" s="1924"/>
      <c r="AF53" s="1924"/>
      <c r="AG53" s="1924"/>
      <c r="AH53" s="1925"/>
      <c r="AM53" s="1333" t="s">
        <v>1784</v>
      </c>
      <c r="AN53" s="1362">
        <v>3.5000000000000003E-2</v>
      </c>
      <c r="AO53" s="1362">
        <v>3.5000000000000003E-2</v>
      </c>
      <c r="AP53" s="1362">
        <v>3.5000000000000003E-2</v>
      </c>
      <c r="AQ53" s="1362">
        <v>0.03</v>
      </c>
      <c r="AR53" s="1362">
        <v>0.03</v>
      </c>
      <c r="AS53" s="1362">
        <v>0.03</v>
      </c>
      <c r="AT53" s="1362">
        <v>2.5999999999999999E-2</v>
      </c>
      <c r="AU53" s="1362">
        <v>2.5999999999999999E-2</v>
      </c>
      <c r="AV53" s="1362">
        <v>2.5999999999999999E-2</v>
      </c>
      <c r="BJ53" s="1924"/>
      <c r="BK53" s="1924"/>
      <c r="BL53" s="1924"/>
      <c r="BM53" s="1924"/>
      <c r="BN53" s="1924"/>
      <c r="BO53" s="1924"/>
      <c r="BP53" s="1924"/>
      <c r="BQ53" s="1924"/>
      <c r="BR53" s="1924"/>
      <c r="BS53" s="1924"/>
    </row>
    <row r="54" spans="3:71" x14ac:dyDescent="0.3">
      <c r="C54" s="309" t="s">
        <v>1785</v>
      </c>
      <c r="D54" s="1354" t="s">
        <v>1786</v>
      </c>
      <c r="N54" s="1923" t="s">
        <v>1787</v>
      </c>
      <c r="O54" s="1924"/>
      <c r="P54" s="1924"/>
      <c r="Q54" s="1924"/>
      <c r="R54" s="1924"/>
      <c r="S54" s="1924"/>
      <c r="T54" s="1924"/>
      <c r="U54" s="1924"/>
      <c r="V54" s="1924"/>
      <c r="W54" s="1925"/>
      <c r="Y54" s="1923" t="s">
        <v>1788</v>
      </c>
      <c r="Z54" s="1924"/>
      <c r="AA54" s="1924"/>
      <c r="AB54" s="1924"/>
      <c r="AC54" s="1924"/>
      <c r="AD54" s="1924"/>
      <c r="AE54" s="1924"/>
      <c r="AF54" s="1924"/>
      <c r="AG54" s="1924"/>
      <c r="AH54" s="1925"/>
      <c r="AM54" s="1333" t="s">
        <v>1789</v>
      </c>
      <c r="AN54" s="1362">
        <v>8.2000000000000003E-2</v>
      </c>
      <c r="AO54" s="1362">
        <v>8.2000000000000003E-2</v>
      </c>
      <c r="AP54" s="1362">
        <v>8.2000000000000003E-2</v>
      </c>
      <c r="AQ54" s="1362">
        <v>8.2000000000000003E-2</v>
      </c>
      <c r="AR54" s="1362">
        <v>5.7000000000000002E-2</v>
      </c>
      <c r="AS54" s="1362">
        <v>5.7000000000000002E-2</v>
      </c>
      <c r="AT54" s="1362">
        <v>5.7000000000000002E-2</v>
      </c>
      <c r="AU54" s="1362">
        <v>5.7000000000000002E-2</v>
      </c>
      <c r="AV54" s="1362">
        <v>5.7000000000000002E-2</v>
      </c>
      <c r="BJ54" s="1924"/>
      <c r="BK54" s="1924"/>
      <c r="BL54" s="1924"/>
      <c r="BM54" s="1924"/>
      <c r="BN54" s="1924"/>
      <c r="BO54" s="1924"/>
      <c r="BP54" s="1924"/>
      <c r="BQ54" s="1924"/>
      <c r="BR54" s="1924"/>
      <c r="BS54" s="1924"/>
    </row>
    <row r="55" spans="3:71" x14ac:dyDescent="0.3">
      <c r="C55" s="309" t="s">
        <v>1790</v>
      </c>
      <c r="D55" s="1354" t="s">
        <v>1791</v>
      </c>
      <c r="N55" s="1923" t="s">
        <v>1792</v>
      </c>
      <c r="O55" s="1924"/>
      <c r="P55" s="1924"/>
      <c r="Q55" s="1924"/>
      <c r="R55" s="1924"/>
      <c r="S55" s="1924"/>
      <c r="T55" s="1924"/>
      <c r="U55" s="1924"/>
      <c r="V55" s="1924"/>
      <c r="W55" s="1925"/>
      <c r="Y55" s="1923" t="s">
        <v>1793</v>
      </c>
      <c r="Z55" s="1924"/>
      <c r="AA55" s="1924"/>
      <c r="AB55" s="1924"/>
      <c r="AC55" s="1924"/>
      <c r="AD55" s="1924"/>
      <c r="AE55" s="1924"/>
      <c r="AF55" s="1924"/>
      <c r="AG55" s="1924"/>
      <c r="AH55" s="1925"/>
      <c r="AM55" s="1333" t="s">
        <v>1794</v>
      </c>
      <c r="AN55" s="1362" t="s">
        <v>1795</v>
      </c>
      <c r="AO55" s="1362" t="s">
        <v>1796</v>
      </c>
      <c r="AP55" s="1362" t="s">
        <v>1797</v>
      </c>
      <c r="AQ55" s="1362" t="s">
        <v>1797</v>
      </c>
      <c r="AR55" s="1362" t="s">
        <v>1798</v>
      </c>
      <c r="AS55" s="1362" t="s">
        <v>1798</v>
      </c>
      <c r="AT55" s="1362" t="s">
        <v>1799</v>
      </c>
      <c r="AU55" s="1362" t="s">
        <v>1800</v>
      </c>
      <c r="AV55" s="1362" t="s">
        <v>1800</v>
      </c>
      <c r="BJ55" s="1924"/>
      <c r="BK55" s="1924"/>
      <c r="BL55" s="1924"/>
      <c r="BM55" s="1924"/>
      <c r="BN55" s="1924"/>
      <c r="BO55" s="1924"/>
      <c r="BP55" s="1924"/>
      <c r="BQ55" s="1924"/>
      <c r="BR55" s="1924"/>
      <c r="BS55" s="1924"/>
    </row>
    <row r="56" spans="3:71" x14ac:dyDescent="0.3">
      <c r="C56" s="309" t="s">
        <v>1801</v>
      </c>
      <c r="D56" s="1354" t="s">
        <v>1802</v>
      </c>
      <c r="N56" s="1923" t="s">
        <v>1803</v>
      </c>
      <c r="O56" s="1924"/>
      <c r="P56" s="1924"/>
      <c r="Q56" s="1924"/>
      <c r="R56" s="1924"/>
      <c r="S56" s="1924"/>
      <c r="T56" s="1924"/>
      <c r="U56" s="1924"/>
      <c r="V56" s="1924"/>
      <c r="W56" s="1925"/>
      <c r="Y56" s="1923" t="s">
        <v>1803</v>
      </c>
      <c r="Z56" s="1924"/>
      <c r="AA56" s="1924"/>
      <c r="AB56" s="1924"/>
      <c r="AC56" s="1924"/>
      <c r="AD56" s="1924"/>
      <c r="AE56" s="1924"/>
      <c r="AF56" s="1924"/>
      <c r="AG56" s="1924"/>
      <c r="AH56" s="1925"/>
      <c r="AM56" s="1333" t="s">
        <v>1804</v>
      </c>
      <c r="AN56" s="1362">
        <v>6.4000000000000001E-2</v>
      </c>
      <c r="AO56" s="1362">
        <v>6.4000000000000001E-2</v>
      </c>
      <c r="AP56" s="1362">
        <v>4.7E-2</v>
      </c>
      <c r="AQ56" s="1362">
        <v>4.7E-2</v>
      </c>
      <c r="AR56" s="1362">
        <v>3.3000000000000002E-2</v>
      </c>
      <c r="AS56" s="1362">
        <v>3.3000000000000002E-2</v>
      </c>
      <c r="AT56" s="1362">
        <v>3.3000000000000002E-2</v>
      </c>
      <c r="AU56" s="1362">
        <v>2.8000000000000001E-2</v>
      </c>
      <c r="AV56" s="1362">
        <v>2.8000000000000001E-2</v>
      </c>
      <c r="BJ56" s="1924"/>
      <c r="BK56" s="1924"/>
      <c r="BL56" s="1924"/>
      <c r="BM56" s="1924"/>
      <c r="BN56" s="1924"/>
      <c r="BO56" s="1924"/>
      <c r="BP56" s="1924"/>
      <c r="BQ56" s="1924"/>
      <c r="BR56" s="1924"/>
      <c r="BS56" s="1924"/>
    </row>
    <row r="57" spans="3:71" x14ac:dyDescent="0.3">
      <c r="C57" s="309" t="s">
        <v>1805</v>
      </c>
      <c r="D57" s="1354" t="s">
        <v>1806</v>
      </c>
      <c r="N57" s="1923" t="s">
        <v>1807</v>
      </c>
      <c r="O57" s="1924"/>
      <c r="P57" s="1924"/>
      <c r="Q57" s="1924"/>
      <c r="R57" s="1924"/>
      <c r="S57" s="1924"/>
      <c r="T57" s="1924"/>
      <c r="U57" s="1924"/>
      <c r="V57" s="1924"/>
      <c r="W57" s="1925"/>
      <c r="Y57" s="1923" t="s">
        <v>1808</v>
      </c>
      <c r="Z57" s="1924"/>
      <c r="AA57" s="1924"/>
      <c r="AB57" s="1924"/>
      <c r="AC57" s="1924"/>
      <c r="AD57" s="1924"/>
      <c r="AE57" s="1924"/>
      <c r="AF57" s="1924"/>
      <c r="AG57" s="1924"/>
      <c r="AH57" s="1925"/>
      <c r="AM57" s="1333" t="s">
        <v>1809</v>
      </c>
      <c r="AN57" s="1362">
        <v>0.36</v>
      </c>
      <c r="AO57" s="1362">
        <v>0.36</v>
      </c>
      <c r="AP57" s="1362" t="s">
        <v>1810</v>
      </c>
      <c r="AQ57" s="1362" t="s">
        <v>1811</v>
      </c>
      <c r="AR57" s="1362" t="s">
        <v>1811</v>
      </c>
      <c r="AS57" s="1362" t="s">
        <v>1811</v>
      </c>
      <c r="AT57" s="1362" t="s">
        <v>1812</v>
      </c>
      <c r="AU57" s="1362" t="s">
        <v>1812</v>
      </c>
      <c r="AV57" s="1362" t="s">
        <v>1812</v>
      </c>
      <c r="BJ57" s="1924"/>
      <c r="BK57" s="1924"/>
      <c r="BL57" s="1924"/>
      <c r="BM57" s="1924"/>
      <c r="BN57" s="1924"/>
      <c r="BO57" s="1924"/>
      <c r="BP57" s="1924"/>
      <c r="BQ57" s="1924"/>
      <c r="BR57" s="1924"/>
      <c r="BS57" s="1924"/>
    </row>
    <row r="58" spans="3:71" ht="16.2" thickBot="1" x14ac:dyDescent="0.35">
      <c r="C58" s="309" t="s">
        <v>1813</v>
      </c>
      <c r="D58" s="1354" t="s">
        <v>1814</v>
      </c>
      <c r="N58" s="1926" t="s">
        <v>1815</v>
      </c>
      <c r="O58" s="1927"/>
      <c r="P58" s="1927"/>
      <c r="Q58" s="1927"/>
      <c r="R58" s="1927"/>
      <c r="S58" s="1927"/>
      <c r="T58" s="1927"/>
      <c r="U58" s="1927"/>
      <c r="V58" s="1927"/>
      <c r="W58" s="1928"/>
      <c r="Y58" s="1926" t="s">
        <v>1816</v>
      </c>
      <c r="Z58" s="1927"/>
      <c r="AA58" s="1927"/>
      <c r="AB58" s="1927"/>
      <c r="AC58" s="1927"/>
      <c r="AD58" s="1927"/>
      <c r="AE58" s="1927"/>
      <c r="AF58" s="1927"/>
      <c r="AG58" s="1927"/>
      <c r="AH58" s="1928"/>
      <c r="AM58" s="1333" t="s">
        <v>1817</v>
      </c>
      <c r="AN58" s="1362">
        <v>0.47699999999999998</v>
      </c>
      <c r="AO58" s="1362">
        <v>0.47699999999999998</v>
      </c>
      <c r="AP58" s="1335">
        <v>0.13600000000000001</v>
      </c>
      <c r="AQ58" s="1335">
        <v>6.5000000000000002E-2</v>
      </c>
      <c r="AR58" s="1335">
        <v>6.5000000000000002E-2</v>
      </c>
      <c r="AS58" s="1335">
        <v>6.5000000000000002E-2</v>
      </c>
      <c r="AT58" s="1335">
        <v>6.5000000000000002E-2</v>
      </c>
      <c r="AU58" s="1335">
        <v>6.5000000000000002E-2</v>
      </c>
      <c r="AV58" s="1335">
        <v>6.5000000000000002E-2</v>
      </c>
      <c r="BJ58" s="1924"/>
      <c r="BK58" s="1924"/>
      <c r="BL58" s="1924"/>
      <c r="BM58" s="1924"/>
      <c r="BN58" s="1924"/>
      <c r="BO58" s="1924"/>
      <c r="BP58" s="1924"/>
      <c r="BQ58" s="1924"/>
      <c r="BR58" s="1924"/>
      <c r="BS58" s="1924"/>
    </row>
    <row r="59" spans="3:71" x14ac:dyDescent="0.3">
      <c r="C59" s="309" t="s">
        <v>1818</v>
      </c>
      <c r="D59" s="1354" t="s">
        <v>1819</v>
      </c>
    </row>
    <row r="60" spans="3:71" ht="16.2" thickBot="1" x14ac:dyDescent="0.35">
      <c r="C60" s="309" t="s">
        <v>1820</v>
      </c>
      <c r="D60" s="1354" t="s">
        <v>1821</v>
      </c>
    </row>
    <row r="61" spans="3:71" ht="31.8" thickBot="1" x14ac:dyDescent="0.35">
      <c r="C61" s="309" t="s">
        <v>1822</v>
      </c>
      <c r="D61" s="1354" t="s">
        <v>1823</v>
      </c>
      <c r="N61" s="1907" t="s">
        <v>1824</v>
      </c>
      <c r="O61" s="1908"/>
      <c r="P61" s="1908"/>
      <c r="Q61" s="1908"/>
      <c r="R61" s="1908"/>
      <c r="S61" s="1908"/>
      <c r="T61" s="1908"/>
      <c r="U61" s="1908"/>
      <c r="V61" s="1908"/>
      <c r="W61" s="1909"/>
      <c r="Y61" s="1907" t="s">
        <v>1825</v>
      </c>
      <c r="Z61" s="1908"/>
      <c r="AA61" s="1908"/>
      <c r="AB61" s="1908"/>
      <c r="AC61" s="1908"/>
      <c r="AD61" s="1908"/>
      <c r="AE61" s="1908"/>
      <c r="AF61" s="1908"/>
      <c r="AG61" s="1908"/>
      <c r="AH61" s="1909"/>
      <c r="BJ61" s="1495"/>
      <c r="BK61" s="1495"/>
      <c r="BL61" s="1495"/>
      <c r="BM61" s="1495"/>
      <c r="BN61" s="1495"/>
      <c r="BO61" s="1495"/>
      <c r="BP61" s="1495"/>
      <c r="BQ61" s="1495"/>
      <c r="BR61" s="1495"/>
      <c r="BS61" s="1495"/>
    </row>
    <row r="62" spans="3:71" ht="31.8" thickBot="1" x14ac:dyDescent="0.35">
      <c r="C62" s="309" t="s">
        <v>1826</v>
      </c>
      <c r="D62" s="1354" t="s">
        <v>1827</v>
      </c>
      <c r="N62" s="1915" t="s">
        <v>1828</v>
      </c>
      <c r="O62" s="1916"/>
      <c r="P62" s="1916"/>
      <c r="Q62" s="1916"/>
      <c r="R62" s="1916"/>
      <c r="S62" s="1916"/>
      <c r="T62" s="1916"/>
      <c r="U62" s="1916"/>
      <c r="V62" s="1916"/>
      <c r="W62" s="1917"/>
      <c r="Y62" s="1915" t="s">
        <v>1829</v>
      </c>
      <c r="Z62" s="1916"/>
      <c r="AA62" s="1916"/>
      <c r="AB62" s="1916"/>
      <c r="AC62" s="1916"/>
      <c r="AD62" s="1916"/>
      <c r="AE62" s="1916"/>
      <c r="AF62" s="1916"/>
      <c r="AG62" s="1916"/>
      <c r="AH62" s="1917"/>
      <c r="BJ62" s="1918"/>
      <c r="BK62" s="1918"/>
      <c r="BL62" s="1918"/>
      <c r="BM62" s="1918"/>
      <c r="BN62" s="1918"/>
      <c r="BO62" s="1918"/>
      <c r="BP62" s="1918"/>
      <c r="BQ62" s="1918"/>
      <c r="BR62" s="1918"/>
      <c r="BS62" s="1918"/>
    </row>
    <row r="63" spans="3:71" ht="31.2" x14ac:dyDescent="0.3">
      <c r="C63" s="309" t="s">
        <v>1830</v>
      </c>
      <c r="D63" s="1354" t="s">
        <v>1831</v>
      </c>
      <c r="N63" s="1323" t="s">
        <v>510</v>
      </c>
      <c r="O63" s="1324" t="s">
        <v>1430</v>
      </c>
      <c r="P63" s="1325" t="s">
        <v>1431</v>
      </c>
      <c r="Q63" s="1324" t="s">
        <v>1432</v>
      </c>
      <c r="R63" s="1325" t="s">
        <v>1433</v>
      </c>
      <c r="S63" s="1324" t="s">
        <v>1434</v>
      </c>
      <c r="T63" s="1325" t="s">
        <v>1435</v>
      </c>
      <c r="U63" s="1324" t="s">
        <v>1436</v>
      </c>
      <c r="V63" s="1324" t="s">
        <v>1437</v>
      </c>
      <c r="W63" s="1324" t="s">
        <v>1438</v>
      </c>
      <c r="Y63" s="1323" t="s">
        <v>510</v>
      </c>
      <c r="Z63" s="1324" t="s">
        <v>1430</v>
      </c>
      <c r="AA63" s="1325" t="s">
        <v>1431</v>
      </c>
      <c r="AB63" s="1324" t="s">
        <v>1432</v>
      </c>
      <c r="AC63" s="1325" t="s">
        <v>1433</v>
      </c>
      <c r="AD63" s="1324" t="s">
        <v>1434</v>
      </c>
      <c r="AE63" s="1325" t="s">
        <v>1435</v>
      </c>
      <c r="AF63" s="1324" t="s">
        <v>1436</v>
      </c>
      <c r="AG63" s="1324" t="s">
        <v>1437</v>
      </c>
      <c r="AH63" s="1324" t="s">
        <v>1438</v>
      </c>
      <c r="BJ63" s="1346"/>
      <c r="BK63" s="826"/>
      <c r="BL63" s="1326"/>
      <c r="BM63" s="826"/>
      <c r="BN63" s="1326"/>
      <c r="BO63" s="826"/>
      <c r="BP63" s="1326"/>
      <c r="BQ63" s="826"/>
      <c r="BR63" s="826"/>
      <c r="BS63" s="826"/>
    </row>
    <row r="64" spans="3:71" ht="31.8" thickBot="1" x14ac:dyDescent="0.35">
      <c r="C64" s="1363" t="s">
        <v>1832</v>
      </c>
      <c r="D64" s="1364" t="s">
        <v>1833</v>
      </c>
      <c r="N64" s="1350" t="s">
        <v>1507</v>
      </c>
      <c r="O64" s="1334" t="s">
        <v>1834</v>
      </c>
      <c r="P64" s="1334" t="s">
        <v>1835</v>
      </c>
      <c r="Q64" s="1334" t="s">
        <v>1835</v>
      </c>
      <c r="R64" s="1334" t="s">
        <v>1835</v>
      </c>
      <c r="S64" s="1334" t="s">
        <v>1835</v>
      </c>
      <c r="T64" s="1334" t="s">
        <v>1835</v>
      </c>
      <c r="U64" s="1334" t="s">
        <v>1835</v>
      </c>
      <c r="V64" s="1334" t="s">
        <v>1836</v>
      </c>
      <c r="W64" s="1334" t="s">
        <v>1836</v>
      </c>
      <c r="Y64" s="1350" t="s">
        <v>1507</v>
      </c>
      <c r="Z64" s="1334" t="s">
        <v>1835</v>
      </c>
      <c r="AA64" s="1334" t="s">
        <v>1835</v>
      </c>
      <c r="AB64" s="1334" t="s">
        <v>1835</v>
      </c>
      <c r="AC64" s="1334" t="s">
        <v>1836</v>
      </c>
      <c r="AD64" s="1334" t="s">
        <v>1836</v>
      </c>
      <c r="AE64" s="1334" t="s">
        <v>1836</v>
      </c>
      <c r="AF64" s="1334" t="s">
        <v>1837</v>
      </c>
      <c r="AG64" s="1334" t="s">
        <v>1838</v>
      </c>
      <c r="AH64" s="1334" t="s">
        <v>1838</v>
      </c>
      <c r="BJ64" s="797"/>
      <c r="BK64" s="797"/>
      <c r="BL64" s="797"/>
      <c r="BM64" s="797"/>
      <c r="BN64" s="797"/>
      <c r="BO64" s="797"/>
      <c r="BP64" s="797"/>
      <c r="BQ64" s="797"/>
      <c r="BR64" s="797"/>
      <c r="BS64" s="797"/>
    </row>
    <row r="65" spans="3:71" ht="17.399999999999999" x14ac:dyDescent="0.3">
      <c r="C65" s="1919" t="s">
        <v>1839</v>
      </c>
      <c r="D65" s="1920"/>
      <c r="N65" s="1350" t="s">
        <v>1516</v>
      </c>
      <c r="O65" s="1334" t="s">
        <v>1840</v>
      </c>
      <c r="P65" s="1334" t="s">
        <v>1841</v>
      </c>
      <c r="Q65" s="1334" t="s">
        <v>1841</v>
      </c>
      <c r="R65" s="1334" t="s">
        <v>1841</v>
      </c>
      <c r="S65" s="1334" t="s">
        <v>1841</v>
      </c>
      <c r="T65" s="1334" t="s">
        <v>1841</v>
      </c>
      <c r="U65" s="1334" t="s">
        <v>1842</v>
      </c>
      <c r="V65" s="1334" t="s">
        <v>1842</v>
      </c>
      <c r="W65" s="1334" t="s">
        <v>1843</v>
      </c>
      <c r="Y65" s="1350" t="s">
        <v>1516</v>
      </c>
      <c r="Z65" s="1334" t="s">
        <v>1844</v>
      </c>
      <c r="AA65" s="1334" t="s">
        <v>1844</v>
      </c>
      <c r="AB65" s="1334" t="s">
        <v>1844</v>
      </c>
      <c r="AC65" s="1334" t="s">
        <v>1844</v>
      </c>
      <c r="AD65" s="1334" t="s">
        <v>1844</v>
      </c>
      <c r="AE65" s="1334" t="s">
        <v>1844</v>
      </c>
      <c r="AF65" s="1334" t="s">
        <v>1845</v>
      </c>
      <c r="AG65" s="1334" t="s">
        <v>1846</v>
      </c>
      <c r="AH65" s="1334" t="s">
        <v>1846</v>
      </c>
      <c r="BJ65" s="797"/>
      <c r="BK65" s="797"/>
      <c r="BL65" s="797"/>
      <c r="BM65" s="797"/>
      <c r="BN65" s="797"/>
      <c r="BO65" s="797"/>
      <c r="BP65" s="797"/>
      <c r="BQ65" s="797"/>
      <c r="BR65" s="797"/>
      <c r="BS65" s="797"/>
    </row>
    <row r="66" spans="3:71" ht="16.2" thickBot="1" x14ac:dyDescent="0.35">
      <c r="C66" s="1921" t="s">
        <v>1847</v>
      </c>
      <c r="D66" s="1922"/>
      <c r="N66" s="1350" t="s">
        <v>1529</v>
      </c>
      <c r="O66" s="1334" t="s">
        <v>1689</v>
      </c>
      <c r="P66" s="1334" t="s">
        <v>1463</v>
      </c>
      <c r="Q66" s="1334" t="s">
        <v>1463</v>
      </c>
      <c r="R66" s="1334" t="s">
        <v>1463</v>
      </c>
      <c r="S66" s="1334" t="str">
        <f>IECC2009_O_Roofs[[#This Row],[CZ 5]]</f>
        <v>R-38</v>
      </c>
      <c r="T66" s="1334" t="s">
        <v>1463</v>
      </c>
      <c r="U66" s="1334" t="s">
        <v>1463</v>
      </c>
      <c r="V66" s="1334" t="s">
        <v>1463</v>
      </c>
      <c r="W66" s="1334" t="s">
        <v>1457</v>
      </c>
      <c r="Y66" s="1350" t="s">
        <v>1529</v>
      </c>
      <c r="Z66" s="1334" t="s">
        <v>1463</v>
      </c>
      <c r="AA66" s="1334" t="s">
        <v>1463</v>
      </c>
      <c r="AB66" s="1334" t="s">
        <v>1463</v>
      </c>
      <c r="AC66" s="1334" t="s">
        <v>1463</v>
      </c>
      <c r="AD66" s="1334" t="str">
        <f>IECC2012_O_Roofs[[#This Row],[CZ 5]]</f>
        <v>R-38</v>
      </c>
      <c r="AE66" s="1334" t="s">
        <v>1463</v>
      </c>
      <c r="AF66" s="1334" t="s">
        <v>1457</v>
      </c>
      <c r="AG66" s="1334" t="s">
        <v>1457</v>
      </c>
      <c r="AH66" s="1334" t="s">
        <v>1457</v>
      </c>
      <c r="BJ66" s="797"/>
      <c r="BK66" s="797"/>
      <c r="BL66" s="797"/>
      <c r="BM66" s="797"/>
      <c r="BN66" s="797"/>
      <c r="BO66" s="797"/>
      <c r="BP66" s="797"/>
      <c r="BQ66" s="797"/>
      <c r="BR66" s="797"/>
      <c r="BS66" s="797"/>
    </row>
    <row r="67" spans="3:71" ht="16.2" thickBot="1" x14ac:dyDescent="0.35"/>
    <row r="68" spans="3:71" ht="16.2" thickBot="1" x14ac:dyDescent="0.35">
      <c r="N68" s="1907" t="s">
        <v>1848</v>
      </c>
      <c r="O68" s="1908"/>
      <c r="P68" s="1908"/>
      <c r="Q68" s="1908"/>
      <c r="R68" s="1908"/>
      <c r="S68" s="1908"/>
      <c r="T68" s="1908"/>
      <c r="U68" s="1908"/>
      <c r="V68" s="1908"/>
      <c r="W68" s="1909"/>
      <c r="Y68" s="1907" t="s">
        <v>1849</v>
      </c>
      <c r="Z68" s="1908"/>
      <c r="AA68" s="1908"/>
      <c r="AB68" s="1908"/>
      <c r="AC68" s="1908"/>
      <c r="AD68" s="1908"/>
      <c r="AE68" s="1908"/>
      <c r="AF68" s="1908"/>
      <c r="AG68" s="1908"/>
      <c r="AH68" s="1909"/>
      <c r="BJ68" s="1495"/>
      <c r="BK68" s="1495"/>
      <c r="BL68" s="1495"/>
      <c r="BM68" s="1495"/>
      <c r="BN68" s="1495"/>
      <c r="BO68" s="1495"/>
      <c r="BP68" s="1495"/>
      <c r="BQ68" s="1495"/>
      <c r="BR68" s="1495"/>
      <c r="BS68" s="1495"/>
    </row>
    <row r="69" spans="3:71" ht="16.2" thickBot="1" x14ac:dyDescent="0.35">
      <c r="N69" s="1915" t="s">
        <v>1850</v>
      </c>
      <c r="O69" s="1916"/>
      <c r="P69" s="1916"/>
      <c r="Q69" s="1916"/>
      <c r="R69" s="1916"/>
      <c r="S69" s="1916"/>
      <c r="T69" s="1916"/>
      <c r="U69" s="1916"/>
      <c r="V69" s="1916"/>
      <c r="W69" s="1917"/>
      <c r="Y69" s="1915" t="s">
        <v>1851</v>
      </c>
      <c r="Z69" s="1916"/>
      <c r="AA69" s="1916"/>
      <c r="AB69" s="1916"/>
      <c r="AC69" s="1916"/>
      <c r="AD69" s="1916"/>
      <c r="AE69" s="1916"/>
      <c r="AF69" s="1916"/>
      <c r="AG69" s="1916"/>
      <c r="AH69" s="1917"/>
      <c r="BJ69" s="1918"/>
      <c r="BK69" s="1918"/>
      <c r="BL69" s="1918"/>
      <c r="BM69" s="1918"/>
      <c r="BN69" s="1918"/>
      <c r="BO69" s="1918"/>
      <c r="BP69" s="1918"/>
      <c r="BQ69" s="1918"/>
      <c r="BR69" s="1918"/>
      <c r="BS69" s="1918"/>
    </row>
    <row r="70" spans="3:71" x14ac:dyDescent="0.3">
      <c r="N70" s="1323" t="s">
        <v>510</v>
      </c>
      <c r="O70" s="1324" t="s">
        <v>1430</v>
      </c>
      <c r="P70" s="1325" t="s">
        <v>1431</v>
      </c>
      <c r="Q70" s="1324" t="s">
        <v>1432</v>
      </c>
      <c r="R70" s="1325" t="s">
        <v>1433</v>
      </c>
      <c r="S70" s="1324" t="s">
        <v>1434</v>
      </c>
      <c r="T70" s="1325" t="s">
        <v>1435</v>
      </c>
      <c r="U70" s="1324" t="s">
        <v>1436</v>
      </c>
      <c r="V70" s="1324" t="s">
        <v>1437</v>
      </c>
      <c r="W70" s="1324" t="s">
        <v>1438</v>
      </c>
      <c r="Y70" s="1323" t="s">
        <v>510</v>
      </c>
      <c r="Z70" s="1324" t="s">
        <v>1430</v>
      </c>
      <c r="AA70" s="1325" t="s">
        <v>1431</v>
      </c>
      <c r="AB70" s="1324" t="s">
        <v>1432</v>
      </c>
      <c r="AC70" s="1325" t="s">
        <v>1433</v>
      </c>
      <c r="AD70" s="1324" t="s">
        <v>1434</v>
      </c>
      <c r="AE70" s="1325" t="s">
        <v>1435</v>
      </c>
      <c r="AF70" s="1324" t="s">
        <v>1436</v>
      </c>
      <c r="AG70" s="1324" t="s">
        <v>1437</v>
      </c>
      <c r="AH70" s="1324" t="s">
        <v>1438</v>
      </c>
      <c r="BJ70" s="1346"/>
      <c r="BK70" s="826"/>
      <c r="BL70" s="1326"/>
      <c r="BM70" s="826"/>
      <c r="BN70" s="1326"/>
      <c r="BO70" s="826"/>
      <c r="BP70" s="1326"/>
      <c r="BQ70" s="826"/>
      <c r="BR70" s="826"/>
      <c r="BS70" s="826"/>
    </row>
    <row r="71" spans="3:71" x14ac:dyDescent="0.3">
      <c r="N71" s="1350" t="s">
        <v>1554</v>
      </c>
      <c r="O71" s="1334" t="s">
        <v>1447</v>
      </c>
      <c r="P71" s="1334" t="s">
        <v>1852</v>
      </c>
      <c r="Q71" s="1334" t="s">
        <v>1853</v>
      </c>
      <c r="R71" s="1334" t="s">
        <v>1854</v>
      </c>
      <c r="S71" s="1334" t="s">
        <v>1855</v>
      </c>
      <c r="T71" s="1334" t="s">
        <v>1855</v>
      </c>
      <c r="U71" s="1334" t="s">
        <v>1856</v>
      </c>
      <c r="V71" s="1334" t="s">
        <v>1857</v>
      </c>
      <c r="W71" s="1334" t="s">
        <v>1836</v>
      </c>
      <c r="Y71" s="1350" t="s">
        <v>1554</v>
      </c>
      <c r="Z71" s="1334" t="s">
        <v>1852</v>
      </c>
      <c r="AA71" s="1334" t="s">
        <v>1852</v>
      </c>
      <c r="AB71" s="1334" t="s">
        <v>1853</v>
      </c>
      <c r="AC71" s="1334" t="s">
        <v>1854</v>
      </c>
      <c r="AD71" s="1334" t="s">
        <v>1855</v>
      </c>
      <c r="AE71" s="1334" t="s">
        <v>1855</v>
      </c>
      <c r="AF71" s="1334" t="s">
        <v>1856</v>
      </c>
      <c r="AG71" s="1334" t="s">
        <v>1857</v>
      </c>
      <c r="AH71" s="1334" t="s">
        <v>1836</v>
      </c>
      <c r="BJ71" s="797"/>
      <c r="BK71" s="797"/>
      <c r="BL71" s="797"/>
      <c r="BM71" s="797"/>
      <c r="BN71" s="797"/>
      <c r="BO71" s="797"/>
      <c r="BP71" s="797"/>
      <c r="BQ71" s="797"/>
      <c r="BR71" s="797"/>
      <c r="BS71" s="797"/>
    </row>
    <row r="72" spans="3:71" ht="17.399999999999999" x14ac:dyDescent="0.3">
      <c r="N72" s="1350" t="s">
        <v>1571</v>
      </c>
      <c r="O72" s="1334" t="s">
        <v>1858</v>
      </c>
      <c r="P72" s="1334" t="s">
        <v>1858</v>
      </c>
      <c r="Q72" s="1334" t="s">
        <v>1840</v>
      </c>
      <c r="R72" s="1334" t="s">
        <v>1840</v>
      </c>
      <c r="S72" s="1334" t="s">
        <v>1859</v>
      </c>
      <c r="T72" s="1334" t="s">
        <v>1859</v>
      </c>
      <c r="U72" s="1334" t="s">
        <v>1859</v>
      </c>
      <c r="V72" s="1334" t="s">
        <v>1860</v>
      </c>
      <c r="W72" s="1334" t="s">
        <v>1860</v>
      </c>
      <c r="Y72" s="1350" t="s">
        <v>1579</v>
      </c>
      <c r="Z72" s="1334" t="s">
        <v>1861</v>
      </c>
      <c r="AA72" s="1334" t="s">
        <v>1861</v>
      </c>
      <c r="AB72" s="1334" t="s">
        <v>1861</v>
      </c>
      <c r="AC72" s="1334" t="s">
        <v>1862</v>
      </c>
      <c r="AD72" s="1334" t="s">
        <v>1862</v>
      </c>
      <c r="AE72" s="1334" t="s">
        <v>1862</v>
      </c>
      <c r="AF72" s="1334" t="s">
        <v>1862</v>
      </c>
      <c r="AG72" s="1334" t="s">
        <v>1862</v>
      </c>
      <c r="AH72" s="1334" t="s">
        <v>1862</v>
      </c>
      <c r="BJ72" s="797"/>
      <c r="BK72" s="797"/>
      <c r="BL72" s="797"/>
      <c r="BM72" s="797"/>
      <c r="BN72" s="797"/>
      <c r="BO72" s="797"/>
      <c r="BP72" s="797"/>
      <c r="BQ72" s="797"/>
      <c r="BR72" s="797"/>
      <c r="BS72" s="797"/>
    </row>
    <row r="73" spans="3:71" x14ac:dyDescent="0.3">
      <c r="N73" s="1350" t="s">
        <v>1587</v>
      </c>
      <c r="O73" s="1334" t="s">
        <v>1599</v>
      </c>
      <c r="P73" s="1334" t="s">
        <v>1599</v>
      </c>
      <c r="Q73" s="1334" t="s">
        <v>1600</v>
      </c>
      <c r="R73" s="1334" t="s">
        <v>1601</v>
      </c>
      <c r="S73" s="1334" t="s">
        <v>1601</v>
      </c>
      <c r="T73" s="1334" t="s">
        <v>1601</v>
      </c>
      <c r="U73" s="1334" t="s">
        <v>1601</v>
      </c>
      <c r="V73" s="1334" t="s">
        <v>1601</v>
      </c>
      <c r="W73" s="1334" t="s">
        <v>1601</v>
      </c>
      <c r="Y73" s="1350" t="s">
        <v>1587</v>
      </c>
      <c r="Z73" s="1334" t="s">
        <v>1863</v>
      </c>
      <c r="AA73" s="1334" t="s">
        <v>1863</v>
      </c>
      <c r="AB73" s="1334" t="s">
        <v>1601</v>
      </c>
      <c r="AC73" s="1334" t="s">
        <v>1601</v>
      </c>
      <c r="AD73" s="1334" t="s">
        <v>1601</v>
      </c>
      <c r="AE73" s="1334" t="s">
        <v>1601</v>
      </c>
      <c r="AF73" s="1334" t="s">
        <v>1601</v>
      </c>
      <c r="AG73" s="1334" t="s">
        <v>1601</v>
      </c>
      <c r="AH73" s="1334" t="s">
        <v>1601</v>
      </c>
      <c r="BJ73" s="797"/>
      <c r="BK73" s="797"/>
      <c r="BL73" s="797"/>
      <c r="BM73" s="797"/>
      <c r="BN73" s="797"/>
      <c r="BO73" s="797"/>
      <c r="BP73" s="797"/>
      <c r="BQ73" s="797"/>
      <c r="BR73" s="797"/>
      <c r="BS73" s="797"/>
    </row>
    <row r="74" spans="3:71" x14ac:dyDescent="0.3">
      <c r="N74" s="1350" t="s">
        <v>1598</v>
      </c>
      <c r="O74" s="1334" t="s">
        <v>1599</v>
      </c>
      <c r="P74" s="1334" t="s">
        <v>1599</v>
      </c>
      <c r="Q74" s="1334" t="s">
        <v>1599</v>
      </c>
      <c r="R74" s="1334" t="s">
        <v>1599</v>
      </c>
      <c r="S74" s="1334" t="s">
        <v>1600</v>
      </c>
      <c r="T74" s="1334" t="s">
        <v>1600</v>
      </c>
      <c r="U74" s="1334" t="s">
        <v>1601</v>
      </c>
      <c r="V74" s="1334" t="s">
        <v>1601</v>
      </c>
      <c r="W74" s="1334" t="s">
        <v>1602</v>
      </c>
      <c r="Y74" s="1350" t="s">
        <v>1598</v>
      </c>
      <c r="Z74" s="1334" t="s">
        <v>1603</v>
      </c>
      <c r="AA74" s="1334" t="s">
        <v>1603</v>
      </c>
      <c r="AB74" s="1334" t="s">
        <v>1603</v>
      </c>
      <c r="AC74" s="1334" t="s">
        <v>1603</v>
      </c>
      <c r="AD74" s="1334" t="s">
        <v>1603</v>
      </c>
      <c r="AE74" s="1334" t="s">
        <v>1603</v>
      </c>
      <c r="AF74" s="1334" t="s">
        <v>1864</v>
      </c>
      <c r="AG74" s="1334" t="s">
        <v>1864</v>
      </c>
      <c r="AH74" s="1334" t="s">
        <v>1865</v>
      </c>
      <c r="BJ74" s="797"/>
      <c r="BK74" s="797"/>
      <c r="BL74" s="797"/>
      <c r="BM74" s="797"/>
      <c r="BN74" s="797"/>
      <c r="BO74" s="797"/>
      <c r="BP74" s="797"/>
      <c r="BQ74" s="797"/>
      <c r="BR74" s="797"/>
      <c r="BS74" s="797"/>
    </row>
    <row r="75" spans="3:71" ht="16.2" thickBot="1" x14ac:dyDescent="0.35"/>
    <row r="76" spans="3:71" ht="16.2" thickBot="1" x14ac:dyDescent="0.35">
      <c r="N76" s="1907" t="s">
        <v>1866</v>
      </c>
      <c r="O76" s="1908"/>
      <c r="P76" s="1908"/>
      <c r="Q76" s="1908"/>
      <c r="R76" s="1908"/>
      <c r="S76" s="1908"/>
      <c r="T76" s="1908"/>
      <c r="U76" s="1908"/>
      <c r="V76" s="1908"/>
      <c r="W76" s="1909"/>
      <c r="Y76" s="1907" t="s">
        <v>1867</v>
      </c>
      <c r="Z76" s="1908"/>
      <c r="AA76" s="1908"/>
      <c r="AB76" s="1908"/>
      <c r="AC76" s="1908"/>
      <c r="AD76" s="1908"/>
      <c r="AE76" s="1908"/>
      <c r="AF76" s="1908"/>
      <c r="AG76" s="1908"/>
      <c r="AH76" s="1909"/>
      <c r="BJ76" s="1495"/>
      <c r="BK76" s="1495"/>
      <c r="BL76" s="1495"/>
      <c r="BM76" s="1495"/>
      <c r="BN76" s="1495"/>
      <c r="BO76" s="1495"/>
      <c r="BP76" s="1495"/>
      <c r="BQ76" s="1495"/>
      <c r="BR76" s="1495"/>
      <c r="BS76" s="1495"/>
    </row>
    <row r="77" spans="3:71" ht="16.2" thickBot="1" x14ac:dyDescent="0.35">
      <c r="N77" s="1915" t="s">
        <v>1868</v>
      </c>
      <c r="O77" s="1916"/>
      <c r="P77" s="1916"/>
      <c r="Q77" s="1916"/>
      <c r="R77" s="1916"/>
      <c r="S77" s="1916"/>
      <c r="T77" s="1916"/>
      <c r="U77" s="1916"/>
      <c r="V77" s="1916"/>
      <c r="W77" s="1917"/>
      <c r="Y77" s="1915" t="s">
        <v>1869</v>
      </c>
      <c r="Z77" s="1916"/>
      <c r="AA77" s="1916"/>
      <c r="AB77" s="1916"/>
      <c r="AC77" s="1916"/>
      <c r="AD77" s="1916"/>
      <c r="AE77" s="1916"/>
      <c r="AF77" s="1916"/>
      <c r="AG77" s="1916"/>
      <c r="AH77" s="1917"/>
      <c r="BJ77" s="1918"/>
      <c r="BK77" s="1918"/>
      <c r="BL77" s="1918"/>
      <c r="BM77" s="1918"/>
      <c r="BN77" s="1918"/>
      <c r="BO77" s="1918"/>
      <c r="BP77" s="1918"/>
      <c r="BQ77" s="1918"/>
      <c r="BR77" s="1918"/>
      <c r="BS77" s="1918"/>
    </row>
    <row r="78" spans="3:71" x14ac:dyDescent="0.3">
      <c r="N78" s="1323" t="s">
        <v>510</v>
      </c>
      <c r="O78" s="1324" t="s">
        <v>1430</v>
      </c>
      <c r="P78" s="1325" t="s">
        <v>1431</v>
      </c>
      <c r="Q78" s="1324" t="s">
        <v>1432</v>
      </c>
      <c r="R78" s="1325" t="s">
        <v>1433</v>
      </c>
      <c r="S78" s="1324" t="s">
        <v>1434</v>
      </c>
      <c r="T78" s="1325" t="s">
        <v>1435</v>
      </c>
      <c r="U78" s="1324" t="s">
        <v>1436</v>
      </c>
      <c r="V78" s="1324" t="s">
        <v>1437</v>
      </c>
      <c r="W78" s="1324" t="s">
        <v>1438</v>
      </c>
      <c r="Y78" s="1323" t="s">
        <v>510</v>
      </c>
      <c r="Z78" s="1324" t="s">
        <v>1430</v>
      </c>
      <c r="AA78" s="1325" t="s">
        <v>1431</v>
      </c>
      <c r="AB78" s="1324" t="s">
        <v>1432</v>
      </c>
      <c r="AC78" s="1325" t="s">
        <v>1433</v>
      </c>
      <c r="AD78" s="1324" t="s">
        <v>1434</v>
      </c>
      <c r="AE78" s="1325" t="s">
        <v>1435</v>
      </c>
      <c r="AF78" s="1324" t="s">
        <v>1436</v>
      </c>
      <c r="AG78" s="1324" t="s">
        <v>1437</v>
      </c>
      <c r="AH78" s="1324" t="s">
        <v>1438</v>
      </c>
      <c r="BJ78" s="1346"/>
      <c r="BK78" s="826"/>
      <c r="BL78" s="1326"/>
      <c r="BM78" s="826"/>
      <c r="BN78" s="1326"/>
      <c r="BO78" s="826"/>
      <c r="BP78" s="1326"/>
      <c r="BQ78" s="826"/>
      <c r="BR78" s="826"/>
      <c r="BS78" s="826"/>
    </row>
    <row r="79" spans="3:71" ht="17.399999999999999" x14ac:dyDescent="0.3">
      <c r="N79" s="1350" t="s">
        <v>1640</v>
      </c>
      <c r="O79" s="1334" t="s">
        <v>1447</v>
      </c>
      <c r="P79" s="1334" t="s">
        <v>1447</v>
      </c>
      <c r="Q79" s="1334" t="s">
        <v>1447</v>
      </c>
      <c r="R79" s="1334" t="s">
        <v>1447</v>
      </c>
      <c r="S79" s="1334" t="s">
        <v>1641</v>
      </c>
      <c r="T79" s="1334" t="s">
        <v>1641</v>
      </c>
      <c r="U79" s="1365" t="s">
        <v>1641</v>
      </c>
      <c r="V79" s="1334" t="s">
        <v>1641</v>
      </c>
      <c r="W79" s="1334" t="s">
        <v>1641</v>
      </c>
      <c r="Y79" s="1350" t="s">
        <v>1640</v>
      </c>
      <c r="Z79" s="1334" t="s">
        <v>1447</v>
      </c>
      <c r="AA79" s="1334" t="s">
        <v>1447</v>
      </c>
      <c r="AB79" s="1334" t="s">
        <v>1447</v>
      </c>
      <c r="AC79" s="1334" t="s">
        <v>1641</v>
      </c>
      <c r="AD79" s="1334" t="s">
        <v>1641</v>
      </c>
      <c r="AE79" s="1334" t="s">
        <v>1641</v>
      </c>
      <c r="AF79" s="1334" t="s">
        <v>1641</v>
      </c>
      <c r="AG79" s="1334" t="s">
        <v>1642</v>
      </c>
      <c r="AH79" s="1334" t="s">
        <v>1642</v>
      </c>
      <c r="BJ79" s="797"/>
      <c r="BK79" s="797"/>
      <c r="BL79" s="797"/>
      <c r="BM79" s="797"/>
      <c r="BN79" s="797"/>
      <c r="BO79" s="797"/>
      <c r="BP79" s="797"/>
      <c r="BQ79" s="1361"/>
      <c r="BR79" s="797"/>
      <c r="BS79" s="797"/>
    </row>
    <row r="80" spans="3:71" ht="16.2" thickBot="1" x14ac:dyDescent="0.35">
      <c r="N80" s="797"/>
      <c r="O80" s="797"/>
      <c r="P80" s="797"/>
      <c r="Q80" s="797"/>
      <c r="R80" s="1355"/>
      <c r="S80" s="1355"/>
      <c r="T80" s="797"/>
      <c r="U80" s="797"/>
      <c r="V80" s="797"/>
      <c r="W80" s="797"/>
      <c r="Y80" s="797"/>
      <c r="Z80" s="797"/>
      <c r="AA80" s="797"/>
      <c r="AB80" s="797"/>
      <c r="AC80" s="1355"/>
      <c r="AD80" s="1355"/>
      <c r="AE80" s="797"/>
      <c r="AF80" s="797"/>
      <c r="AG80" s="797"/>
      <c r="AH80" s="797"/>
      <c r="BJ80" s="797"/>
      <c r="BK80" s="797"/>
      <c r="BL80" s="797"/>
      <c r="BM80" s="797"/>
      <c r="BN80" s="1355"/>
      <c r="BO80" s="1355"/>
      <c r="BP80" s="797"/>
      <c r="BQ80" s="797"/>
      <c r="BR80" s="797"/>
      <c r="BS80" s="797"/>
    </row>
    <row r="81" spans="14:71" ht="16.2" thickBot="1" x14ac:dyDescent="0.35">
      <c r="N81" s="1907" t="s">
        <v>1870</v>
      </c>
      <c r="O81" s="1908"/>
      <c r="P81" s="1908"/>
      <c r="Q81" s="1908"/>
      <c r="R81" s="1908"/>
      <c r="S81" s="1908"/>
      <c r="T81" s="1908"/>
      <c r="U81" s="1908"/>
      <c r="V81" s="1908"/>
      <c r="W81" s="1909"/>
      <c r="Y81" s="1907" t="s">
        <v>1871</v>
      </c>
      <c r="Z81" s="1908"/>
      <c r="AA81" s="1908"/>
      <c r="AB81" s="1908"/>
      <c r="AC81" s="1908"/>
      <c r="AD81" s="1908"/>
      <c r="AE81" s="1908"/>
      <c r="AF81" s="1908"/>
      <c r="AG81" s="1908"/>
      <c r="AH81" s="1909"/>
      <c r="BJ81" s="1495"/>
      <c r="BK81" s="1495"/>
      <c r="BL81" s="1495"/>
      <c r="BM81" s="1495"/>
      <c r="BN81" s="1495"/>
      <c r="BO81" s="1495"/>
      <c r="BP81" s="1495"/>
      <c r="BQ81" s="1495"/>
      <c r="BR81" s="1495"/>
      <c r="BS81" s="1495"/>
    </row>
    <row r="82" spans="14:71" ht="16.2" thickBot="1" x14ac:dyDescent="0.35">
      <c r="N82" s="1915" t="s">
        <v>1872</v>
      </c>
      <c r="O82" s="1916"/>
      <c r="P82" s="1916"/>
      <c r="Q82" s="1916"/>
      <c r="R82" s="1916"/>
      <c r="S82" s="1916"/>
      <c r="T82" s="1916"/>
      <c r="U82" s="1916"/>
      <c r="V82" s="1916"/>
      <c r="W82" s="1917"/>
      <c r="Y82" s="1915" t="s">
        <v>1873</v>
      </c>
      <c r="Z82" s="1916"/>
      <c r="AA82" s="1916"/>
      <c r="AB82" s="1916"/>
      <c r="AC82" s="1916"/>
      <c r="AD82" s="1916"/>
      <c r="AE82" s="1916"/>
      <c r="AF82" s="1916"/>
      <c r="AG82" s="1916"/>
      <c r="AH82" s="1917"/>
      <c r="BJ82" s="1918"/>
      <c r="BK82" s="1918"/>
      <c r="BL82" s="1918"/>
      <c r="BM82" s="1918"/>
      <c r="BN82" s="1918"/>
      <c r="BO82" s="1918"/>
      <c r="BP82" s="1918"/>
      <c r="BQ82" s="1918"/>
      <c r="BR82" s="1918"/>
      <c r="BS82" s="1918"/>
    </row>
    <row r="83" spans="14:71" x14ac:dyDescent="0.3">
      <c r="N83" s="1323" t="s">
        <v>510</v>
      </c>
      <c r="O83" s="1324" t="s">
        <v>1430</v>
      </c>
      <c r="P83" s="1325" t="s">
        <v>1431</v>
      </c>
      <c r="Q83" s="1324" t="s">
        <v>1432</v>
      </c>
      <c r="R83" s="1325" t="s">
        <v>1433</v>
      </c>
      <c r="S83" s="1324" t="s">
        <v>1434</v>
      </c>
      <c r="T83" s="1325" t="s">
        <v>1435</v>
      </c>
      <c r="U83" s="1324" t="s">
        <v>1436</v>
      </c>
      <c r="V83" s="1324" t="s">
        <v>1437</v>
      </c>
      <c r="W83" s="1324" t="s">
        <v>1438</v>
      </c>
      <c r="Y83" s="1323" t="s">
        <v>510</v>
      </c>
      <c r="Z83" s="1324" t="s">
        <v>1430</v>
      </c>
      <c r="AA83" s="1325" t="s">
        <v>1431</v>
      </c>
      <c r="AB83" s="1324" t="s">
        <v>1432</v>
      </c>
      <c r="AC83" s="1325" t="s">
        <v>1433</v>
      </c>
      <c r="AD83" s="1324" t="s">
        <v>1434</v>
      </c>
      <c r="AE83" s="1325" t="s">
        <v>1435</v>
      </c>
      <c r="AF83" s="1324" t="s">
        <v>1436</v>
      </c>
      <c r="AG83" s="1324" t="s">
        <v>1437</v>
      </c>
      <c r="AH83" s="1324" t="s">
        <v>1438</v>
      </c>
      <c r="BJ83" s="1346"/>
      <c r="BK83" s="826"/>
      <c r="BL83" s="1326"/>
      <c r="BM83" s="826"/>
      <c r="BN83" s="1326"/>
      <c r="BO83" s="826"/>
      <c r="BP83" s="1326"/>
      <c r="BQ83" s="826"/>
      <c r="BR83" s="826"/>
      <c r="BS83" s="826"/>
    </row>
    <row r="84" spans="14:71" x14ac:dyDescent="0.3">
      <c r="N84" s="1350" t="s">
        <v>1554</v>
      </c>
      <c r="O84" s="1334" t="s">
        <v>1447</v>
      </c>
      <c r="P84" s="1334" t="s">
        <v>1874</v>
      </c>
      <c r="Q84" s="1334" t="s">
        <v>1874</v>
      </c>
      <c r="R84" s="1334" t="s">
        <v>1642</v>
      </c>
      <c r="S84" s="1334" t="s">
        <v>1642</v>
      </c>
      <c r="T84" s="1334" t="s">
        <v>1642</v>
      </c>
      <c r="U84" s="1334" t="s">
        <v>1555</v>
      </c>
      <c r="V84" s="1334" t="s">
        <v>1834</v>
      </c>
      <c r="W84" s="1334" t="s">
        <v>1834</v>
      </c>
      <c r="Y84" s="1350" t="s">
        <v>1554</v>
      </c>
      <c r="Z84" s="1334" t="s">
        <v>1447</v>
      </c>
      <c r="AA84" s="1334" t="s">
        <v>1874</v>
      </c>
      <c r="AB84" s="1334" t="s">
        <v>1642</v>
      </c>
      <c r="AC84" s="1334" t="s">
        <v>1642</v>
      </c>
      <c r="AD84" s="1334" t="s">
        <v>1642</v>
      </c>
      <c r="AE84" s="1334" t="s">
        <v>1642</v>
      </c>
      <c r="AF84" s="1334" t="s">
        <v>1555</v>
      </c>
      <c r="AG84" s="1334" t="s">
        <v>1834</v>
      </c>
      <c r="AH84" s="1334" t="s">
        <v>1834</v>
      </c>
      <c r="BJ84" s="797"/>
      <c r="BK84" s="797"/>
      <c r="BL84" s="797"/>
      <c r="BM84" s="797"/>
      <c r="BN84" s="797"/>
      <c r="BO84" s="797"/>
      <c r="BP84" s="797"/>
      <c r="BQ84" s="797"/>
      <c r="BR84" s="797"/>
      <c r="BS84" s="797"/>
    </row>
    <row r="85" spans="14:71" ht="31.2" x14ac:dyDescent="0.3">
      <c r="N85" s="1356" t="s">
        <v>1688</v>
      </c>
      <c r="O85" s="1334" t="s">
        <v>1447</v>
      </c>
      <c r="P85" s="1334" t="s">
        <v>1840</v>
      </c>
      <c r="Q85" s="1334" t="s">
        <v>1840</v>
      </c>
      <c r="R85" s="1334" t="s">
        <v>1689</v>
      </c>
      <c r="S85" s="1334" t="s">
        <v>1689</v>
      </c>
      <c r="T85" s="1334" t="s">
        <v>1689</v>
      </c>
      <c r="U85" s="1334" t="s">
        <v>1689</v>
      </c>
      <c r="V85" s="1334" t="s">
        <v>1689</v>
      </c>
      <c r="W85" s="1334" t="s">
        <v>1690</v>
      </c>
      <c r="Y85" s="1356" t="s">
        <v>1688</v>
      </c>
      <c r="Z85" s="1366" t="s">
        <v>1447</v>
      </c>
      <c r="AA85" s="1366" t="s">
        <v>1689</v>
      </c>
      <c r="AB85" s="1366" t="s">
        <v>1689</v>
      </c>
      <c r="AC85" s="1366" t="s">
        <v>1689</v>
      </c>
      <c r="AD85" s="1366" t="s">
        <v>1689</v>
      </c>
      <c r="AE85" s="1366" t="s">
        <v>1689</v>
      </c>
      <c r="AF85" s="1366" t="s">
        <v>1689</v>
      </c>
      <c r="AG85" s="1366" t="s">
        <v>1690</v>
      </c>
      <c r="AH85" s="1366" t="s">
        <v>1690</v>
      </c>
      <c r="BJ85" s="1361"/>
      <c r="BK85" s="797"/>
      <c r="BL85" s="797"/>
      <c r="BM85" s="797"/>
      <c r="BN85" s="797"/>
      <c r="BO85" s="797"/>
      <c r="BP85" s="797"/>
      <c r="BQ85" s="797"/>
      <c r="BR85" s="797"/>
      <c r="BS85" s="797"/>
    </row>
    <row r="86" spans="14:71" ht="16.2" thickBot="1" x14ac:dyDescent="0.35"/>
    <row r="87" spans="14:71" ht="16.2" thickBot="1" x14ac:dyDescent="0.35">
      <c r="N87" s="1907" t="s">
        <v>1875</v>
      </c>
      <c r="O87" s="1908"/>
      <c r="P87" s="1908"/>
      <c r="Q87" s="1908"/>
      <c r="R87" s="1908"/>
      <c r="S87" s="1908"/>
      <c r="T87" s="1908"/>
      <c r="U87" s="1908"/>
      <c r="V87" s="1908"/>
      <c r="W87" s="1909"/>
      <c r="Y87" s="1907" t="s">
        <v>1876</v>
      </c>
      <c r="Z87" s="1908"/>
      <c r="AA87" s="1908"/>
      <c r="AB87" s="1908"/>
      <c r="AC87" s="1908"/>
      <c r="AD87" s="1908"/>
      <c r="AE87" s="1908"/>
      <c r="AF87" s="1908"/>
      <c r="AG87" s="1908"/>
      <c r="AH87" s="1909"/>
      <c r="BJ87" s="1495"/>
      <c r="BK87" s="1495"/>
      <c r="BL87" s="1495"/>
      <c r="BM87" s="1495"/>
      <c r="BN87" s="1495"/>
      <c r="BO87" s="1495"/>
      <c r="BP87" s="1495"/>
      <c r="BQ87" s="1495"/>
      <c r="BR87" s="1495"/>
      <c r="BS87" s="1495"/>
    </row>
    <row r="88" spans="14:71" ht="16.2" thickBot="1" x14ac:dyDescent="0.35">
      <c r="N88" s="1915" t="s">
        <v>1877</v>
      </c>
      <c r="O88" s="1916"/>
      <c r="P88" s="1916"/>
      <c r="Q88" s="1916"/>
      <c r="R88" s="1916"/>
      <c r="S88" s="1916"/>
      <c r="T88" s="1916"/>
      <c r="U88" s="1916"/>
      <c r="V88" s="1916"/>
      <c r="W88" s="1917"/>
      <c r="Y88" s="1915" t="s">
        <v>1878</v>
      </c>
      <c r="Z88" s="1916"/>
      <c r="AA88" s="1916"/>
      <c r="AB88" s="1916"/>
      <c r="AC88" s="1916"/>
      <c r="AD88" s="1916"/>
      <c r="AE88" s="1916"/>
      <c r="AF88" s="1916"/>
      <c r="AG88" s="1916"/>
      <c r="AH88" s="1917"/>
      <c r="BJ88" s="1918"/>
      <c r="BK88" s="1918"/>
      <c r="BL88" s="1918"/>
      <c r="BM88" s="1918"/>
      <c r="BN88" s="1918"/>
      <c r="BO88" s="1918"/>
      <c r="BP88" s="1918"/>
      <c r="BQ88" s="1918"/>
      <c r="BR88" s="1918"/>
      <c r="BS88" s="1918"/>
    </row>
    <row r="89" spans="14:71" x14ac:dyDescent="0.3">
      <c r="N89" s="1323" t="s">
        <v>510</v>
      </c>
      <c r="O89" s="1324" t="s">
        <v>1430</v>
      </c>
      <c r="P89" s="1325" t="s">
        <v>1431</v>
      </c>
      <c r="Q89" s="1324" t="s">
        <v>1432</v>
      </c>
      <c r="R89" s="1325" t="s">
        <v>1433</v>
      </c>
      <c r="S89" s="1324" t="s">
        <v>1434</v>
      </c>
      <c r="T89" s="1325" t="s">
        <v>1435</v>
      </c>
      <c r="U89" s="1324" t="s">
        <v>1436</v>
      </c>
      <c r="V89" s="1324" t="s">
        <v>1437</v>
      </c>
      <c r="W89" s="1324" t="s">
        <v>1438</v>
      </c>
      <c r="Y89" s="1323" t="s">
        <v>510</v>
      </c>
      <c r="Z89" s="1324" t="s">
        <v>1430</v>
      </c>
      <c r="AA89" s="1325" t="s">
        <v>1431</v>
      </c>
      <c r="AB89" s="1324" t="s">
        <v>1432</v>
      </c>
      <c r="AC89" s="1325" t="s">
        <v>1433</v>
      </c>
      <c r="AD89" s="1324" t="s">
        <v>1434</v>
      </c>
      <c r="AE89" s="1325" t="s">
        <v>1435</v>
      </c>
      <c r="AF89" s="1324" t="s">
        <v>1436</v>
      </c>
      <c r="AG89" s="1324" t="s">
        <v>1437</v>
      </c>
      <c r="AH89" s="1324" t="s">
        <v>1438</v>
      </c>
      <c r="BJ89" s="1346"/>
      <c r="BK89" s="826"/>
      <c r="BL89" s="1326"/>
      <c r="BM89" s="826"/>
      <c r="BN89" s="1326"/>
      <c r="BO89" s="826"/>
      <c r="BP89" s="1326"/>
      <c r="BQ89" s="826"/>
      <c r="BR89" s="826"/>
      <c r="BS89" s="826"/>
    </row>
    <row r="90" spans="14:71" x14ac:dyDescent="0.3">
      <c r="N90" s="1350" t="s">
        <v>1717</v>
      </c>
      <c r="O90" s="1334" t="s">
        <v>1447</v>
      </c>
      <c r="P90" s="1334" t="s">
        <v>1447</v>
      </c>
      <c r="Q90" s="1334" t="s">
        <v>1447</v>
      </c>
      <c r="R90" s="1334" t="s">
        <v>1447</v>
      </c>
      <c r="S90" s="1334" t="s">
        <v>1447</v>
      </c>
      <c r="T90" s="1334" t="s">
        <v>1447</v>
      </c>
      <c r="U90" s="1334" t="s">
        <v>1718</v>
      </c>
      <c r="V90" s="1334" t="s">
        <v>1719</v>
      </c>
      <c r="W90" s="1334" t="s">
        <v>1719</v>
      </c>
      <c r="Y90" s="1350" t="s">
        <v>1717</v>
      </c>
      <c r="Z90" s="1334" t="s">
        <v>1447</v>
      </c>
      <c r="AA90" s="1334" t="s">
        <v>1447</v>
      </c>
      <c r="AB90" s="1334" t="s">
        <v>1447</v>
      </c>
      <c r="AC90" s="1334" t="s">
        <v>1718</v>
      </c>
      <c r="AD90" s="1334" t="s">
        <v>1718</v>
      </c>
      <c r="AE90" s="1334" t="s">
        <v>1718</v>
      </c>
      <c r="AF90" s="1334" t="s">
        <v>1718</v>
      </c>
      <c r="AG90" s="1334" t="s">
        <v>1719</v>
      </c>
      <c r="AH90" s="1334" t="s">
        <v>1719</v>
      </c>
      <c r="BJ90" s="797"/>
      <c r="BK90" s="797"/>
      <c r="BL90" s="797"/>
      <c r="BM90" s="797"/>
      <c r="BN90" s="797"/>
      <c r="BO90" s="797"/>
      <c r="BP90" s="797"/>
      <c r="BQ90" s="797"/>
      <c r="BR90" s="797"/>
      <c r="BS90" s="797"/>
    </row>
    <row r="91" spans="14:71" x14ac:dyDescent="0.3">
      <c r="N91" s="1356" t="s">
        <v>1731</v>
      </c>
      <c r="O91" s="1334" t="s">
        <v>1732</v>
      </c>
      <c r="P91" s="1334" t="s">
        <v>1732</v>
      </c>
      <c r="Q91" s="1334" t="s">
        <v>1718</v>
      </c>
      <c r="R91" s="1334" t="s">
        <v>1719</v>
      </c>
      <c r="S91" s="1334" t="s">
        <v>1719</v>
      </c>
      <c r="T91" s="1334" t="s">
        <v>1719</v>
      </c>
      <c r="U91" s="1334" t="s">
        <v>1719</v>
      </c>
      <c r="V91" s="1334" t="s">
        <v>1720</v>
      </c>
      <c r="W91" s="1334" t="s">
        <v>1733</v>
      </c>
      <c r="Y91" s="1356" t="s">
        <v>1731</v>
      </c>
      <c r="Z91" s="1334" t="s">
        <v>1732</v>
      </c>
      <c r="AA91" s="1334" t="s">
        <v>1732</v>
      </c>
      <c r="AB91" s="1334" t="s">
        <v>1718</v>
      </c>
      <c r="AC91" s="1334" t="s">
        <v>1719</v>
      </c>
      <c r="AD91" s="1334" t="s">
        <v>1734</v>
      </c>
      <c r="AE91" s="1334" t="s">
        <v>1734</v>
      </c>
      <c r="AF91" s="1334" t="s">
        <v>1734</v>
      </c>
      <c r="AG91" s="1334" t="s">
        <v>1720</v>
      </c>
      <c r="AH91" s="1334" t="s">
        <v>1733</v>
      </c>
      <c r="BJ91" s="1361"/>
      <c r="BK91" s="797"/>
      <c r="BL91" s="797"/>
      <c r="BM91" s="797"/>
      <c r="BN91" s="797"/>
      <c r="BO91" s="797"/>
      <c r="BP91" s="797"/>
      <c r="BQ91" s="797"/>
      <c r="BR91" s="797"/>
      <c r="BS91" s="797"/>
    </row>
    <row r="92" spans="14:71" ht="16.2" thickBot="1" x14ac:dyDescent="0.35"/>
    <row r="93" spans="14:71" ht="16.2" thickBot="1" x14ac:dyDescent="0.35">
      <c r="N93" s="1907" t="s">
        <v>1879</v>
      </c>
      <c r="O93" s="1908"/>
      <c r="P93" s="1908"/>
      <c r="Q93" s="1908"/>
      <c r="R93" s="1908"/>
      <c r="S93" s="1908"/>
      <c r="T93" s="1908"/>
      <c r="U93" s="1908"/>
      <c r="V93" s="1908"/>
      <c r="W93" s="1909"/>
      <c r="Y93" s="1907" t="s">
        <v>1880</v>
      </c>
      <c r="Z93" s="1908"/>
      <c r="AA93" s="1908"/>
      <c r="AB93" s="1908"/>
      <c r="AC93" s="1908"/>
      <c r="AD93" s="1908"/>
      <c r="AE93" s="1908"/>
      <c r="AF93" s="1908"/>
      <c r="AG93" s="1908"/>
      <c r="AH93" s="1909"/>
      <c r="BJ93" s="1495"/>
      <c r="BK93" s="1495"/>
      <c r="BL93" s="1495"/>
      <c r="BM93" s="1495"/>
      <c r="BN93" s="1495"/>
      <c r="BO93" s="1495"/>
      <c r="BP93" s="1495"/>
      <c r="BQ93" s="1495"/>
      <c r="BR93" s="1495"/>
      <c r="BS93" s="1495"/>
    </row>
    <row r="94" spans="14:71" ht="16.2" thickBot="1" x14ac:dyDescent="0.35">
      <c r="N94" s="1915" t="s">
        <v>1881</v>
      </c>
      <c r="O94" s="1916"/>
      <c r="P94" s="1916"/>
      <c r="Q94" s="1916"/>
      <c r="R94" s="1916"/>
      <c r="S94" s="1916"/>
      <c r="T94" s="1916"/>
      <c r="U94" s="1916"/>
      <c r="V94" s="1916"/>
      <c r="W94" s="1917"/>
      <c r="Y94" s="1915" t="s">
        <v>1882</v>
      </c>
      <c r="Z94" s="1916"/>
      <c r="AA94" s="1916"/>
      <c r="AB94" s="1916"/>
      <c r="AC94" s="1916"/>
      <c r="AD94" s="1916"/>
      <c r="AE94" s="1916"/>
      <c r="AF94" s="1916"/>
      <c r="AG94" s="1916"/>
      <c r="AH94" s="1917"/>
      <c r="BJ94" s="1918"/>
      <c r="BK94" s="1918"/>
      <c r="BL94" s="1918"/>
      <c r="BM94" s="1918"/>
      <c r="BN94" s="1918"/>
      <c r="BO94" s="1918"/>
      <c r="BP94" s="1918"/>
      <c r="BQ94" s="1918"/>
      <c r="BR94" s="1918"/>
      <c r="BS94" s="1918"/>
    </row>
    <row r="95" spans="14:71" x14ac:dyDescent="0.3">
      <c r="N95" s="1323" t="s">
        <v>510</v>
      </c>
      <c r="O95" s="1324" t="s">
        <v>1430</v>
      </c>
      <c r="P95" s="1325" t="s">
        <v>1431</v>
      </c>
      <c r="Q95" s="1324" t="s">
        <v>1432</v>
      </c>
      <c r="R95" s="1325" t="s">
        <v>1433</v>
      </c>
      <c r="S95" s="1324" t="s">
        <v>1434</v>
      </c>
      <c r="T95" s="1325" t="s">
        <v>1435</v>
      </c>
      <c r="U95" s="1324" t="s">
        <v>1436</v>
      </c>
      <c r="V95" s="1324" t="s">
        <v>1437</v>
      </c>
      <c r="W95" s="1324" t="s">
        <v>1438</v>
      </c>
      <c r="Y95" s="1323" t="s">
        <v>510</v>
      </c>
      <c r="Z95" s="1324" t="s">
        <v>1430</v>
      </c>
      <c r="AA95" s="1325" t="s">
        <v>1431</v>
      </c>
      <c r="AB95" s="1324" t="s">
        <v>1432</v>
      </c>
      <c r="AC95" s="1325" t="s">
        <v>1433</v>
      </c>
      <c r="AD95" s="1324" t="s">
        <v>1434</v>
      </c>
      <c r="AE95" s="1325" t="s">
        <v>1435</v>
      </c>
      <c r="AF95" s="1324" t="s">
        <v>1436</v>
      </c>
      <c r="AG95" s="1324" t="s">
        <v>1437</v>
      </c>
      <c r="AH95" s="1324" t="s">
        <v>1438</v>
      </c>
      <c r="BJ95" s="1346"/>
      <c r="BK95" s="826"/>
      <c r="BL95" s="1326"/>
      <c r="BM95" s="826"/>
      <c r="BN95" s="1326"/>
      <c r="BO95" s="826"/>
      <c r="BP95" s="1326"/>
      <c r="BQ95" s="826"/>
      <c r="BR95" s="826"/>
      <c r="BS95" s="826"/>
    </row>
    <row r="96" spans="14:71" x14ac:dyDescent="0.3">
      <c r="N96" s="1350" t="s">
        <v>1761</v>
      </c>
      <c r="O96" s="1334" t="s">
        <v>1762</v>
      </c>
      <c r="P96" s="1334" t="s">
        <v>1762</v>
      </c>
      <c r="Q96" s="1334" t="s">
        <v>1762</v>
      </c>
      <c r="R96" s="1334" t="s">
        <v>1762</v>
      </c>
      <c r="S96" s="1334" t="str">
        <f>IECC2009_O_OpaqueDoors[[#This Row],[CZ 5]]</f>
        <v>U-0.70</v>
      </c>
      <c r="T96" s="1334" t="s">
        <v>1762</v>
      </c>
      <c r="U96" s="1334" t="s">
        <v>1762</v>
      </c>
      <c r="V96" s="1334" t="s">
        <v>1763</v>
      </c>
      <c r="W96" s="1334" t="s">
        <v>1763</v>
      </c>
      <c r="Y96" s="1350" t="s">
        <v>1761</v>
      </c>
      <c r="Z96" s="1334" t="s">
        <v>1764</v>
      </c>
      <c r="AA96" s="1334" t="s">
        <v>1764</v>
      </c>
      <c r="AB96" s="1334" t="s">
        <v>1764</v>
      </c>
      <c r="AC96" s="1334" t="s">
        <v>1764</v>
      </c>
      <c r="AD96" s="1334" t="s">
        <v>1765</v>
      </c>
      <c r="AE96" s="1334" t="s">
        <v>1765</v>
      </c>
      <c r="AF96" s="1334" t="s">
        <v>1765</v>
      </c>
      <c r="AG96" s="1334" t="s">
        <v>1765</v>
      </c>
      <c r="AH96" s="1334" t="s">
        <v>1765</v>
      </c>
      <c r="BJ96" s="797"/>
      <c r="BK96" s="797"/>
      <c r="BL96" s="797"/>
      <c r="BM96" s="797"/>
      <c r="BN96" s="797"/>
      <c r="BO96" s="797"/>
      <c r="BP96" s="797"/>
      <c r="BQ96" s="797"/>
      <c r="BR96" s="797"/>
      <c r="BS96" s="797"/>
    </row>
    <row r="97" spans="14:71" x14ac:dyDescent="0.3">
      <c r="N97" s="1356" t="s">
        <v>1769</v>
      </c>
      <c r="O97" s="1334" t="s">
        <v>1770</v>
      </c>
      <c r="P97" s="1334" t="s">
        <v>1770</v>
      </c>
      <c r="Q97" s="1334" t="s">
        <v>1770</v>
      </c>
      <c r="R97" s="1334" t="s">
        <v>1763</v>
      </c>
      <c r="S97" s="1334" t="str">
        <f>IECC2009_O_OpaqueDoors[[#This Row],[CZ 5]]</f>
        <v>U-0.50</v>
      </c>
      <c r="T97" s="1334" t="s">
        <v>1763</v>
      </c>
      <c r="U97" s="1334" t="s">
        <v>1763</v>
      </c>
      <c r="V97" s="1334" t="s">
        <v>1763</v>
      </c>
      <c r="W97" s="1334" t="s">
        <v>1763</v>
      </c>
      <c r="Y97" s="1356" t="s">
        <v>1769</v>
      </c>
      <c r="Z97" s="1334" t="s">
        <v>1771</v>
      </c>
      <c r="AA97" s="1334" t="s">
        <v>1771</v>
      </c>
      <c r="AB97" s="1334" t="s">
        <v>1771</v>
      </c>
      <c r="AC97" s="1334" t="s">
        <v>1771</v>
      </c>
      <c r="AD97" s="1334" t="s">
        <v>1771</v>
      </c>
      <c r="AE97" s="1334" t="s">
        <v>1771</v>
      </c>
      <c r="AF97" s="1334" t="s">
        <v>1771</v>
      </c>
      <c r="AG97" s="1334" t="s">
        <v>1771</v>
      </c>
      <c r="AH97" s="1334" t="s">
        <v>1771</v>
      </c>
      <c r="BJ97" s="1361"/>
      <c r="BK97" s="797"/>
      <c r="BL97" s="797"/>
      <c r="BM97" s="797"/>
      <c r="BN97" s="797"/>
      <c r="BO97" s="797"/>
      <c r="BP97" s="797"/>
      <c r="BQ97" s="797"/>
      <c r="BR97" s="797"/>
      <c r="BS97" s="797"/>
    </row>
    <row r="98" spans="14:71" ht="16.2" thickBot="1" x14ac:dyDescent="0.35"/>
    <row r="99" spans="14:71" ht="16.2" thickBot="1" x14ac:dyDescent="0.35">
      <c r="N99" s="1907" t="s">
        <v>1883</v>
      </c>
      <c r="O99" s="1908"/>
      <c r="P99" s="1908"/>
      <c r="Q99" s="1908"/>
      <c r="R99" s="1908"/>
      <c r="S99" s="1908"/>
      <c r="T99" s="1908"/>
      <c r="U99" s="1908"/>
      <c r="V99" s="1908"/>
      <c r="W99" s="1909"/>
      <c r="Y99" s="1907" t="s">
        <v>1884</v>
      </c>
      <c r="Z99" s="1908"/>
      <c r="AA99" s="1908"/>
      <c r="AB99" s="1908"/>
      <c r="AC99" s="1908"/>
      <c r="AD99" s="1908"/>
      <c r="AE99" s="1908"/>
      <c r="AF99" s="1908"/>
      <c r="AG99" s="1908"/>
      <c r="AH99" s="1909"/>
      <c r="AJ99" s="1907" t="s">
        <v>1885</v>
      </c>
      <c r="AK99" s="1909"/>
    </row>
    <row r="100" spans="14:71" ht="16.2" thickBot="1" x14ac:dyDescent="0.35">
      <c r="N100" s="1910" t="s">
        <v>1422</v>
      </c>
      <c r="O100" s="1911"/>
      <c r="P100" s="1911"/>
      <c r="Q100" s="1911"/>
      <c r="R100" s="1911"/>
      <c r="S100" s="1911"/>
      <c r="T100" s="1911"/>
      <c r="U100" s="1911"/>
      <c r="V100" s="1911"/>
      <c r="W100" s="1912"/>
      <c r="Y100" s="1910" t="s">
        <v>1423</v>
      </c>
      <c r="Z100" s="1911"/>
      <c r="AA100" s="1911"/>
      <c r="AB100" s="1911"/>
      <c r="AC100" s="1911"/>
      <c r="AD100" s="1911"/>
      <c r="AE100" s="1911"/>
      <c r="AF100" s="1911"/>
      <c r="AG100" s="1911"/>
      <c r="AH100" s="1912"/>
      <c r="AJ100" s="1913" t="s">
        <v>1424</v>
      </c>
      <c r="AK100" s="1914"/>
    </row>
    <row r="101" spans="14:71" x14ac:dyDescent="0.3">
      <c r="N101" s="1320" t="s">
        <v>510</v>
      </c>
      <c r="O101" s="1321" t="s">
        <v>1430</v>
      </c>
      <c r="P101" s="1322" t="s">
        <v>1431</v>
      </c>
      <c r="Q101" s="1321" t="s">
        <v>1432</v>
      </c>
      <c r="R101" s="1322" t="s">
        <v>1433</v>
      </c>
      <c r="S101" s="1321" t="s">
        <v>1434</v>
      </c>
      <c r="T101" s="1322" t="s">
        <v>1435</v>
      </c>
      <c r="U101" s="1321" t="s">
        <v>1436</v>
      </c>
      <c r="V101" s="1321" t="s">
        <v>1437</v>
      </c>
      <c r="W101" s="1321" t="s">
        <v>1438</v>
      </c>
      <c r="Y101" s="1320" t="s">
        <v>510</v>
      </c>
      <c r="Z101" s="1321" t="s">
        <v>1430</v>
      </c>
      <c r="AA101" s="1322" t="s">
        <v>1431</v>
      </c>
      <c r="AB101" s="1321" t="s">
        <v>1432</v>
      </c>
      <c r="AC101" s="1322" t="s">
        <v>1433</v>
      </c>
      <c r="AD101" s="1321" t="s">
        <v>1434</v>
      </c>
      <c r="AE101" s="1322" t="s">
        <v>1435</v>
      </c>
      <c r="AF101" s="1321" t="s">
        <v>1436</v>
      </c>
      <c r="AG101" s="1321" t="s">
        <v>1437</v>
      </c>
      <c r="AH101" s="1321" t="s">
        <v>1438</v>
      </c>
      <c r="AJ101" s="1320" t="s">
        <v>510</v>
      </c>
      <c r="AK101" s="1321" t="s">
        <v>1439</v>
      </c>
    </row>
    <row r="102" spans="14:71" x14ac:dyDescent="0.3">
      <c r="N102" s="1333" t="s">
        <v>1446</v>
      </c>
      <c r="O102" s="1335" t="s">
        <v>1447</v>
      </c>
      <c r="P102" s="1335" t="s">
        <v>1447</v>
      </c>
      <c r="Q102" s="1335" t="s">
        <v>1447</v>
      </c>
      <c r="R102" s="1335" t="s">
        <v>1448</v>
      </c>
      <c r="S102" s="1335" t="s">
        <v>1448</v>
      </c>
      <c r="T102" s="1335" t="s">
        <v>1448</v>
      </c>
      <c r="U102" s="1335" t="s">
        <v>1449</v>
      </c>
      <c r="V102" s="1335" t="s">
        <v>1449</v>
      </c>
      <c r="W102" s="1335" t="s">
        <v>1450</v>
      </c>
      <c r="Y102" s="1333" t="s">
        <v>1446</v>
      </c>
      <c r="Z102" s="1335" t="s">
        <v>1447</v>
      </c>
      <c r="AA102" s="1335" t="s">
        <v>1447</v>
      </c>
      <c r="AB102" s="1335" t="s">
        <v>1447</v>
      </c>
      <c r="AC102" s="1335" t="s">
        <v>1448</v>
      </c>
      <c r="AD102" s="1335" t="s">
        <v>1448</v>
      </c>
      <c r="AE102" s="1335" t="s">
        <v>1448</v>
      </c>
      <c r="AF102" s="1335" t="s">
        <v>1449</v>
      </c>
      <c r="AG102" s="1335" t="s">
        <v>1449</v>
      </c>
      <c r="AH102" s="1335" t="s">
        <v>1450</v>
      </c>
      <c r="AJ102" s="1333" t="s">
        <v>1451</v>
      </c>
      <c r="AK102" s="1367" t="s">
        <v>1452</v>
      </c>
    </row>
    <row r="103" spans="14:71" x14ac:dyDescent="0.3">
      <c r="N103" s="1333" t="s">
        <v>1455</v>
      </c>
      <c r="O103" s="1335">
        <v>0</v>
      </c>
      <c r="P103" s="1335">
        <v>0</v>
      </c>
      <c r="Q103" s="1335">
        <v>0</v>
      </c>
      <c r="R103" s="1335">
        <v>2</v>
      </c>
      <c r="S103" s="1335">
        <v>2</v>
      </c>
      <c r="T103" s="1335">
        <v>2</v>
      </c>
      <c r="U103" s="1335">
        <v>2</v>
      </c>
      <c r="V103" s="1335">
        <v>2</v>
      </c>
      <c r="W103" s="1335">
        <v>2</v>
      </c>
      <c r="Y103" s="1333" t="s">
        <v>1455</v>
      </c>
      <c r="Z103" s="1335">
        <v>0</v>
      </c>
      <c r="AA103" s="1335">
        <v>0</v>
      </c>
      <c r="AB103" s="1335">
        <v>0</v>
      </c>
      <c r="AC103" s="1335">
        <v>2</v>
      </c>
      <c r="AD103" s="1335">
        <v>2</v>
      </c>
      <c r="AE103" s="1335">
        <v>2</v>
      </c>
      <c r="AF103" s="1335">
        <v>2</v>
      </c>
      <c r="AG103" s="1335">
        <v>2</v>
      </c>
      <c r="AH103" s="1335">
        <v>2</v>
      </c>
      <c r="AJ103" s="1333" t="s">
        <v>1456</v>
      </c>
      <c r="AK103" s="1367" t="s">
        <v>1457</v>
      </c>
    </row>
    <row r="104" spans="14:71" x14ac:dyDescent="0.3">
      <c r="N104" s="1333" t="s">
        <v>1461</v>
      </c>
      <c r="O104" s="1335">
        <v>0</v>
      </c>
      <c r="P104" s="1335">
        <v>0</v>
      </c>
      <c r="Q104" s="1335">
        <v>0</v>
      </c>
      <c r="R104" s="1335">
        <v>7.5</v>
      </c>
      <c r="S104" s="1335">
        <v>7.5</v>
      </c>
      <c r="T104" s="1335">
        <v>7.5</v>
      </c>
      <c r="U104" s="1335">
        <v>7.5</v>
      </c>
      <c r="V104" s="1335">
        <v>10</v>
      </c>
      <c r="W104" s="1335">
        <v>12.5</v>
      </c>
      <c r="Y104" s="1333" t="s">
        <v>1461</v>
      </c>
      <c r="Z104" s="1335">
        <v>0</v>
      </c>
      <c r="AA104" s="1335">
        <v>0</v>
      </c>
      <c r="AB104" s="1335">
        <v>0</v>
      </c>
      <c r="AC104" s="1335">
        <v>7.5</v>
      </c>
      <c r="AD104" s="1335">
        <v>7.5</v>
      </c>
      <c r="AE104" s="1335">
        <v>7.5</v>
      </c>
      <c r="AF104" s="1335">
        <v>7.5</v>
      </c>
      <c r="AG104" s="1335">
        <v>10</v>
      </c>
      <c r="AH104" s="1335">
        <v>12.5</v>
      </c>
      <c r="AJ104" s="1333" t="s">
        <v>1462</v>
      </c>
      <c r="AK104" s="1367" t="s">
        <v>1463</v>
      </c>
    </row>
    <row r="105" spans="14:71" x14ac:dyDescent="0.3">
      <c r="N105" s="1333" t="s">
        <v>1466</v>
      </c>
      <c r="O105" s="1335">
        <v>0.28199999999999997</v>
      </c>
      <c r="P105" s="1335">
        <v>5.1999999999999998E-2</v>
      </c>
      <c r="Q105" s="1335">
        <v>3.3000000000000002E-2</v>
      </c>
      <c r="R105" s="1335">
        <v>3.3000000000000002E-2</v>
      </c>
      <c r="S105" s="1335">
        <v>3.3000000000000002E-2</v>
      </c>
      <c r="T105" s="1335">
        <v>3.3000000000000002E-2</v>
      </c>
      <c r="U105" s="1335">
        <v>3.3000000000000002E-2</v>
      </c>
      <c r="V105" s="1335">
        <v>3.3000000000000002E-2</v>
      </c>
      <c r="W105" s="1335">
        <v>3.3000000000000002E-2</v>
      </c>
      <c r="Y105" s="1333" t="s">
        <v>1466</v>
      </c>
      <c r="Z105" s="1335">
        <v>6.6000000000000003E-2</v>
      </c>
      <c r="AA105" s="1335">
        <v>3.3000000000000002E-2</v>
      </c>
      <c r="AB105" s="1335">
        <v>3.3000000000000002E-2</v>
      </c>
      <c r="AC105" s="1335">
        <v>3.3000000000000002E-2</v>
      </c>
      <c r="AD105" s="1335">
        <v>3.3000000000000002E-2</v>
      </c>
      <c r="AE105" s="1335">
        <v>3.3000000000000002E-2</v>
      </c>
      <c r="AF105" s="1335">
        <v>3.3000000000000002E-2</v>
      </c>
      <c r="AG105" s="1335">
        <v>3.3000000000000002E-2</v>
      </c>
      <c r="AH105" s="1335">
        <v>3.3000000000000002E-2</v>
      </c>
      <c r="AJ105" s="1333" t="s">
        <v>1467</v>
      </c>
      <c r="AK105" s="1367" t="s">
        <v>1468</v>
      </c>
    </row>
    <row r="106" spans="14:71" x14ac:dyDescent="0.3">
      <c r="N106" s="1333" t="s">
        <v>1472</v>
      </c>
      <c r="O106" s="1335">
        <v>8.8999999999999996E-2</v>
      </c>
      <c r="P106" s="1335">
        <v>8.8999999999999996E-2</v>
      </c>
      <c r="Q106" s="1335">
        <v>8.8999999999999996E-2</v>
      </c>
      <c r="R106" s="1335">
        <v>6.4000000000000001E-2</v>
      </c>
      <c r="S106" s="1335">
        <v>5.0999999999999997E-2</v>
      </c>
      <c r="T106" s="1335">
        <v>5.0999999999999997E-2</v>
      </c>
      <c r="U106" s="1335">
        <v>5.0999999999999997E-2</v>
      </c>
      <c r="V106" s="1335">
        <v>5.0999999999999997E-2</v>
      </c>
      <c r="W106" s="1335">
        <v>3.5999999999999997E-2</v>
      </c>
      <c r="Y106" s="1333" t="s">
        <v>1472</v>
      </c>
      <c r="Z106" s="1335">
        <v>6.4000000000000001E-2</v>
      </c>
      <c r="AA106" s="1335">
        <v>6.4000000000000001E-2</v>
      </c>
      <c r="AB106" s="1335">
        <v>6.4000000000000001E-2</v>
      </c>
      <c r="AC106" s="1335">
        <v>6.4000000000000001E-2</v>
      </c>
      <c r="AD106" s="1335">
        <v>6.4000000000000001E-2</v>
      </c>
      <c r="AE106" s="1335">
        <v>6.4000000000000001E-2</v>
      </c>
      <c r="AF106" s="1335">
        <v>5.0999999999999997E-2</v>
      </c>
      <c r="AG106" s="1335">
        <v>5.0999999999999997E-2</v>
      </c>
      <c r="AH106" s="1335">
        <v>3.5999999999999997E-2</v>
      </c>
      <c r="AJ106" s="1333" t="s">
        <v>1473</v>
      </c>
      <c r="AK106" s="1367" t="s">
        <v>1474</v>
      </c>
    </row>
    <row r="107" spans="14:71" x14ac:dyDescent="0.3">
      <c r="N107" s="1333" t="s">
        <v>1477</v>
      </c>
      <c r="O107" s="1335">
        <v>2.7E-2</v>
      </c>
      <c r="P107" s="1335">
        <v>2.7E-2</v>
      </c>
      <c r="Q107" s="1335">
        <v>2.7E-2</v>
      </c>
      <c r="R107" s="1335">
        <v>2.7E-2</v>
      </c>
      <c r="S107" s="1335">
        <v>2.7E-2</v>
      </c>
      <c r="T107" s="1335">
        <v>2.7E-2</v>
      </c>
      <c r="U107" s="1335">
        <v>2.7E-2</v>
      </c>
      <c r="V107" s="1335">
        <v>2.7E-2</v>
      </c>
      <c r="W107" s="1335">
        <v>2.7E-2</v>
      </c>
      <c r="Y107" s="1333" t="s">
        <v>1477</v>
      </c>
      <c r="Z107" s="1335">
        <v>2.7E-2</v>
      </c>
      <c r="AA107" s="1335">
        <v>2.7E-2</v>
      </c>
      <c r="AB107" s="1335">
        <v>2.7E-2</v>
      </c>
      <c r="AC107" s="1335">
        <v>2.7E-2</v>
      </c>
      <c r="AD107" s="1335">
        <v>2.1000000000000001E-2</v>
      </c>
      <c r="AE107" s="1335">
        <v>2.1000000000000001E-2</v>
      </c>
      <c r="AF107" s="1335">
        <v>2.1000000000000001E-2</v>
      </c>
      <c r="AG107" s="1335">
        <v>2.1000000000000001E-2</v>
      </c>
      <c r="AH107" s="1335">
        <v>2.1000000000000001E-2</v>
      </c>
    </row>
  </sheetData>
  <sheetProtection algorithmName="SHA-512" hashValue="0iTO1M86AGq1ahYH5UAhrleoH04z6nAQlD0f8f/HYzx30vn0aLgMeUpjeCRso4qXvO48V8ICnhNKRPLlvmsSUw==" saltValue="ELQ4aDmdLHqyzTCeH/vpYA==" spinCount="100000" sheet="1" objects="1" scenarios="1"/>
  <mergeCells count="160">
    <mergeCell ref="A1:I1"/>
    <mergeCell ref="B2:E2"/>
    <mergeCell ref="G2:L2"/>
    <mergeCell ref="N2:W2"/>
    <mergeCell ref="Y2:AH2"/>
    <mergeCell ref="AJ2:AK2"/>
    <mergeCell ref="BJ3:BM3"/>
    <mergeCell ref="H4:L4"/>
    <mergeCell ref="B9:E9"/>
    <mergeCell ref="B10:E10"/>
    <mergeCell ref="C11:D11"/>
    <mergeCell ref="C12:D12"/>
    <mergeCell ref="AM2:AV2"/>
    <mergeCell ref="AX2:BG2"/>
    <mergeCell ref="BJ2:BM2"/>
    <mergeCell ref="B3:E3"/>
    <mergeCell ref="G3:L3"/>
    <mergeCell ref="N3:W3"/>
    <mergeCell ref="Y3:AH3"/>
    <mergeCell ref="AJ3:AK3"/>
    <mergeCell ref="AM3:AV3"/>
    <mergeCell ref="AX3:BG3"/>
    <mergeCell ref="N13:W13"/>
    <mergeCell ref="Y13:AH13"/>
    <mergeCell ref="BJ13:BS13"/>
    <mergeCell ref="BU13:CD13"/>
    <mergeCell ref="CF13:CO13"/>
    <mergeCell ref="N14:W14"/>
    <mergeCell ref="Y14:AH14"/>
    <mergeCell ref="AM14:AV14"/>
    <mergeCell ref="AX14:BG14"/>
    <mergeCell ref="BJ14:BS14"/>
    <mergeCell ref="BU14:CD14"/>
    <mergeCell ref="CF14:CO14"/>
    <mergeCell ref="AM15:AV15"/>
    <mergeCell ref="AX15:BG15"/>
    <mergeCell ref="N20:W20"/>
    <mergeCell ref="Y20:AH20"/>
    <mergeCell ref="BJ20:BS20"/>
    <mergeCell ref="BU20:CD20"/>
    <mergeCell ref="CF20:CO20"/>
    <mergeCell ref="C29:D29"/>
    <mergeCell ref="N29:W29"/>
    <mergeCell ref="Y29:AH29"/>
    <mergeCell ref="BJ29:BS29"/>
    <mergeCell ref="BU29:CD29"/>
    <mergeCell ref="CF29:CO29"/>
    <mergeCell ref="CF21:CO21"/>
    <mergeCell ref="AM22:AV22"/>
    <mergeCell ref="AX22:BA22"/>
    <mergeCell ref="C28:D28"/>
    <mergeCell ref="N28:W28"/>
    <mergeCell ref="Y28:AH28"/>
    <mergeCell ref="BJ28:BS28"/>
    <mergeCell ref="BU28:CD28"/>
    <mergeCell ref="CF28:CO28"/>
    <mergeCell ref="N21:W21"/>
    <mergeCell ref="Y21:AH21"/>
    <mergeCell ref="AM21:AV21"/>
    <mergeCell ref="AX21:BA21"/>
    <mergeCell ref="BJ21:BS21"/>
    <mergeCell ref="BU21:CD21"/>
    <mergeCell ref="N33:W33"/>
    <mergeCell ref="Y33:AH33"/>
    <mergeCell ref="BJ33:BS33"/>
    <mergeCell ref="BU33:CD33"/>
    <mergeCell ref="CF33:CO33"/>
    <mergeCell ref="N34:W34"/>
    <mergeCell ref="Y34:AH34"/>
    <mergeCell ref="BJ34:BS34"/>
    <mergeCell ref="BU34:CD34"/>
    <mergeCell ref="CF34:CO34"/>
    <mergeCell ref="CF39:CO39"/>
    <mergeCell ref="N40:W40"/>
    <mergeCell ref="Y40:AH40"/>
    <mergeCell ref="BJ40:BS40"/>
    <mergeCell ref="BU40:CD40"/>
    <mergeCell ref="CF40:CO40"/>
    <mergeCell ref="AM35:AV35"/>
    <mergeCell ref="AM36:AV36"/>
    <mergeCell ref="N39:W39"/>
    <mergeCell ref="Y39:AH39"/>
    <mergeCell ref="BJ39:BS39"/>
    <mergeCell ref="BU39:CD39"/>
    <mergeCell ref="AM48:AV48"/>
    <mergeCell ref="AM49:AV49"/>
    <mergeCell ref="N51:W51"/>
    <mergeCell ref="Y51:AH51"/>
    <mergeCell ref="BJ51:BS51"/>
    <mergeCell ref="N52:W52"/>
    <mergeCell ref="Y52:AH52"/>
    <mergeCell ref="BJ52:BS52"/>
    <mergeCell ref="N45:W45"/>
    <mergeCell ref="Y45:AH45"/>
    <mergeCell ref="BJ45:BS45"/>
    <mergeCell ref="N46:W46"/>
    <mergeCell ref="Y46:AH46"/>
    <mergeCell ref="BJ46:BS46"/>
    <mergeCell ref="N55:W55"/>
    <mergeCell ref="Y55:AH55"/>
    <mergeCell ref="BJ55:BS55"/>
    <mergeCell ref="N56:W56"/>
    <mergeCell ref="Y56:AH56"/>
    <mergeCell ref="BJ56:BS56"/>
    <mergeCell ref="N53:W53"/>
    <mergeCell ref="Y53:AH53"/>
    <mergeCell ref="BJ53:BS53"/>
    <mergeCell ref="N54:W54"/>
    <mergeCell ref="Y54:AH54"/>
    <mergeCell ref="BJ54:BS54"/>
    <mergeCell ref="N61:W61"/>
    <mergeCell ref="Y61:AH61"/>
    <mergeCell ref="BJ61:BS61"/>
    <mergeCell ref="N62:W62"/>
    <mergeCell ref="Y62:AH62"/>
    <mergeCell ref="BJ62:BS62"/>
    <mergeCell ref="N57:W57"/>
    <mergeCell ref="Y57:AH57"/>
    <mergeCell ref="BJ57:BS57"/>
    <mergeCell ref="N58:W58"/>
    <mergeCell ref="Y58:AH58"/>
    <mergeCell ref="BJ58:BS58"/>
    <mergeCell ref="N76:W76"/>
    <mergeCell ref="Y76:AH76"/>
    <mergeCell ref="BJ76:BS76"/>
    <mergeCell ref="N77:W77"/>
    <mergeCell ref="Y77:AH77"/>
    <mergeCell ref="BJ77:BS77"/>
    <mergeCell ref="C65:D65"/>
    <mergeCell ref="C66:D66"/>
    <mergeCell ref="N68:W68"/>
    <mergeCell ref="Y68:AH68"/>
    <mergeCell ref="BJ68:BS68"/>
    <mergeCell ref="N69:W69"/>
    <mergeCell ref="Y69:AH69"/>
    <mergeCell ref="BJ69:BS69"/>
    <mergeCell ref="N87:W87"/>
    <mergeCell ref="Y87:AH87"/>
    <mergeCell ref="BJ87:BS87"/>
    <mergeCell ref="N88:W88"/>
    <mergeCell ref="Y88:AH88"/>
    <mergeCell ref="BJ88:BS88"/>
    <mergeCell ref="N81:W81"/>
    <mergeCell ref="Y81:AH81"/>
    <mergeCell ref="BJ81:BS81"/>
    <mergeCell ref="N82:W82"/>
    <mergeCell ref="Y82:AH82"/>
    <mergeCell ref="BJ82:BS82"/>
    <mergeCell ref="N99:W99"/>
    <mergeCell ref="Y99:AH99"/>
    <mergeCell ref="AJ99:AK99"/>
    <mergeCell ref="N100:W100"/>
    <mergeCell ref="Y100:AH100"/>
    <mergeCell ref="AJ100:AK100"/>
    <mergeCell ref="N93:W93"/>
    <mergeCell ref="Y93:AH93"/>
    <mergeCell ref="BJ93:BS93"/>
    <mergeCell ref="N94:W94"/>
    <mergeCell ref="Y94:AH94"/>
    <mergeCell ref="BJ94:BS94"/>
  </mergeCells>
  <pageMargins left="0.7" right="0.7" top="0.75" bottom="0.75" header="0.3" footer="0.3"/>
  <pageSetup orientation="portrait" horizontalDpi="1200" verticalDpi="1200" r:id="rId1"/>
  <legacyDrawing r:id="rId2"/>
  <tableParts count="5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F3C73-2049-BD41-A56E-7B5014F49CC3}">
  <sheetPr>
    <tabColor theme="6" tint="0.39997558519241921"/>
  </sheetPr>
  <dimension ref="A1:S51"/>
  <sheetViews>
    <sheetView topLeftCell="A31" zoomScaleNormal="100" workbookViewId="0">
      <selection activeCell="E7" sqref="E7"/>
    </sheetView>
  </sheetViews>
  <sheetFormatPr defaultColWidth="8.8984375" defaultRowHeight="15.6" x14ac:dyDescent="0.3"/>
  <cols>
    <col min="1" max="1" width="1.8984375" customWidth="1"/>
    <col min="2" max="2" width="11" customWidth="1"/>
    <col min="3" max="3" width="11.5" customWidth="1"/>
    <col min="4" max="4" width="10.59765625" customWidth="1"/>
    <col min="5" max="5" width="11.5" customWidth="1"/>
    <col min="6" max="6" width="11" customWidth="1"/>
    <col min="7" max="7" width="11.5" customWidth="1"/>
    <col min="8" max="8" width="10.59765625" customWidth="1"/>
    <col min="9" max="9" width="11.5" customWidth="1"/>
    <col min="10" max="10" width="11.09765625" customWidth="1"/>
    <col min="11" max="11" width="11.5" customWidth="1"/>
    <col min="12" max="12" width="11.09765625" customWidth="1"/>
    <col min="13" max="13" width="14.5" customWidth="1"/>
    <col min="14" max="14" width="10.8984375" customWidth="1"/>
    <col min="15" max="15" width="11.5" customWidth="1"/>
    <col min="16" max="16" width="1.8984375" customWidth="1"/>
  </cols>
  <sheetData>
    <row r="1" spans="1:19" ht="14.25" customHeight="1" thickBot="1" x14ac:dyDescent="0.35">
      <c r="A1" s="58"/>
      <c r="B1" s="59"/>
      <c r="C1" s="59"/>
      <c r="D1" s="59"/>
      <c r="E1" s="59"/>
      <c r="F1" s="59"/>
      <c r="G1" s="59"/>
      <c r="H1" s="59"/>
      <c r="I1" s="59"/>
      <c r="J1" s="59"/>
      <c r="K1" s="59"/>
      <c r="L1" s="59"/>
      <c r="M1" s="59"/>
      <c r="N1" s="59"/>
      <c r="O1" s="59"/>
      <c r="P1" s="60"/>
    </row>
    <row r="2" spans="1:19" ht="104.25" customHeight="1" x14ac:dyDescent="0.3">
      <c r="A2" s="61"/>
      <c r="B2" s="1393" t="s">
        <v>1886</v>
      </c>
      <c r="C2" s="1394"/>
      <c r="D2" s="1394"/>
      <c r="E2" s="1394"/>
      <c r="F2" s="1394"/>
      <c r="G2" s="1394"/>
      <c r="H2" s="1394"/>
      <c r="I2" s="1394"/>
      <c r="J2" s="1394"/>
      <c r="K2" s="1394"/>
      <c r="L2" s="1394"/>
      <c r="M2" s="1394"/>
      <c r="N2" s="1394"/>
      <c r="O2" s="1395"/>
      <c r="P2" s="62"/>
      <c r="Q2" s="1368"/>
      <c r="R2" s="1368"/>
      <c r="S2" s="1368"/>
    </row>
    <row r="3" spans="1:19" ht="63" customHeight="1" x14ac:dyDescent="0.3">
      <c r="A3" s="61"/>
      <c r="B3" s="1473" t="s">
        <v>1887</v>
      </c>
      <c r="C3" s="1474"/>
      <c r="D3" s="1474"/>
      <c r="E3" s="1474"/>
      <c r="F3" s="1474"/>
      <c r="G3" s="1474"/>
      <c r="H3" s="1474"/>
      <c r="I3" s="1474"/>
      <c r="J3" s="1474"/>
      <c r="K3" s="1474"/>
      <c r="L3" s="1474"/>
      <c r="M3" s="1474"/>
      <c r="N3" s="1474"/>
      <c r="O3" s="1475"/>
      <c r="P3" s="62"/>
    </row>
    <row r="4" spans="1:19" x14ac:dyDescent="0.3">
      <c r="A4" s="61"/>
      <c r="B4" s="1369" t="s">
        <v>1888</v>
      </c>
      <c r="O4" s="836"/>
      <c r="P4" s="62"/>
    </row>
    <row r="5" spans="1:19" x14ac:dyDescent="0.3">
      <c r="A5" s="61"/>
      <c r="B5" s="795" t="s">
        <v>1932</v>
      </c>
      <c r="O5" s="836"/>
      <c r="P5" s="62"/>
    </row>
    <row r="6" spans="1:19" x14ac:dyDescent="0.3">
      <c r="A6" s="61"/>
      <c r="B6" s="795"/>
      <c r="C6" s="828" t="s">
        <v>1889</v>
      </c>
      <c r="E6" s="1370" t="s">
        <v>1933</v>
      </c>
      <c r="O6" s="836"/>
      <c r="P6" s="62"/>
    </row>
    <row r="7" spans="1:19" x14ac:dyDescent="0.3">
      <c r="A7" s="61"/>
      <c r="B7" s="795"/>
      <c r="C7" s="828" t="s">
        <v>1890</v>
      </c>
      <c r="E7" s="1370" t="s">
        <v>1934</v>
      </c>
      <c r="O7" s="836"/>
      <c r="P7" s="62"/>
    </row>
    <row r="8" spans="1:19" ht="16.2" thickBot="1" x14ac:dyDescent="0.35">
      <c r="A8" s="61"/>
      <c r="B8" s="795"/>
      <c r="O8" s="836"/>
      <c r="P8" s="62"/>
    </row>
    <row r="9" spans="1:19" ht="18.600000000000001" thickBot="1" x14ac:dyDescent="0.4">
      <c r="A9" s="61"/>
      <c r="B9" s="795"/>
      <c r="C9" s="1476" t="s">
        <v>1891</v>
      </c>
      <c r="D9" s="1477"/>
      <c r="E9" s="1477"/>
      <c r="F9" s="1477"/>
      <c r="G9" s="1477"/>
      <c r="H9" s="1477"/>
      <c r="I9" s="1477"/>
      <c r="J9" s="1477"/>
      <c r="K9" s="1477"/>
      <c r="L9" s="1477"/>
      <c r="M9" s="1477"/>
      <c r="N9" s="1478"/>
      <c r="O9" s="836"/>
      <c r="P9" s="62"/>
    </row>
    <row r="10" spans="1:19" ht="16.2" thickBot="1" x14ac:dyDescent="0.35">
      <c r="A10" s="61"/>
      <c r="B10" s="795"/>
      <c r="C10" s="1479" t="s">
        <v>1892</v>
      </c>
      <c r="D10" s="1480"/>
      <c r="E10" s="1480"/>
      <c r="F10" s="1481"/>
      <c r="G10" s="1371" t="str">
        <f>IF(ISNUMBER('[1]Cover Sheet'!D11),'[1]Cover Sheet'!D11," ")</f>
        <v xml:space="preserve"> </v>
      </c>
      <c r="H10" s="1479" t="s">
        <v>1893</v>
      </c>
      <c r="I10" s="1480"/>
      <c r="J10" s="1481"/>
      <c r="K10" s="1482">
        <v>7</v>
      </c>
      <c r="L10" s="1483"/>
      <c r="M10" s="1372" t="s">
        <v>1894</v>
      </c>
      <c r="N10" s="1373" t="str">
        <f>IF(ISNUMBER(G10),ROUNDUP((G10-K10-N19)/K10,0)," ")</f>
        <v xml:space="preserve"> </v>
      </c>
      <c r="O10" s="836"/>
      <c r="P10" s="62"/>
    </row>
    <row r="11" spans="1:19" ht="16.2" thickBot="1" x14ac:dyDescent="0.35">
      <c r="A11" s="61"/>
      <c r="B11" s="795"/>
      <c r="E11" s="1343"/>
      <c r="O11" s="836"/>
      <c r="P11" s="62"/>
    </row>
    <row r="12" spans="1:19" ht="18.600000000000001" thickBot="1" x14ac:dyDescent="0.4">
      <c r="A12" s="61"/>
      <c r="B12" s="1476" t="s">
        <v>1895</v>
      </c>
      <c r="C12" s="1477"/>
      <c r="D12" s="1477"/>
      <c r="E12" s="1477"/>
      <c r="F12" s="1477"/>
      <c r="G12" s="1477"/>
      <c r="H12" s="1477"/>
      <c r="I12" s="1477"/>
      <c r="J12" s="1477"/>
      <c r="K12" s="1477"/>
      <c r="L12" s="1477"/>
      <c r="M12" s="1477"/>
      <c r="N12" s="1477"/>
      <c r="O12" s="1478"/>
      <c r="P12" s="62"/>
    </row>
    <row r="13" spans="1:19" x14ac:dyDescent="0.3">
      <c r="A13" s="61"/>
      <c r="B13" s="1484" t="s">
        <v>1896</v>
      </c>
      <c r="C13" s="1485"/>
      <c r="D13" s="1484" t="s">
        <v>1897</v>
      </c>
      <c r="E13" s="1485"/>
      <c r="F13" s="1484" t="s">
        <v>1898</v>
      </c>
      <c r="G13" s="1485"/>
      <c r="H13" s="1484" t="s">
        <v>1899</v>
      </c>
      <c r="I13" s="1485"/>
      <c r="J13" s="1484" t="s">
        <v>1900</v>
      </c>
      <c r="K13" s="1485"/>
      <c r="L13" s="1484" t="s">
        <v>1901</v>
      </c>
      <c r="M13" s="1485"/>
      <c r="N13" s="1484" t="s">
        <v>1902</v>
      </c>
      <c r="O13" s="1485"/>
      <c r="P13" s="62"/>
    </row>
    <row r="14" spans="1:19" x14ac:dyDescent="0.3">
      <c r="A14" s="61"/>
      <c r="B14" s="1374" t="s">
        <v>1903</v>
      </c>
      <c r="C14" s="1375"/>
      <c r="D14" s="1374" t="s">
        <v>1903</v>
      </c>
      <c r="E14" s="1375"/>
      <c r="F14" s="1374" t="s">
        <v>1903</v>
      </c>
      <c r="G14" s="1375"/>
      <c r="H14" s="1374" t="s">
        <v>1903</v>
      </c>
      <c r="I14" s="1375"/>
      <c r="J14" s="1374" t="s">
        <v>1903</v>
      </c>
      <c r="K14" s="1375"/>
      <c r="L14" s="1374" t="s">
        <v>1903</v>
      </c>
      <c r="M14" s="1375"/>
      <c r="N14" s="1374" t="s">
        <v>1903</v>
      </c>
      <c r="O14" s="1375"/>
      <c r="P14" s="62"/>
    </row>
    <row r="15" spans="1:19" x14ac:dyDescent="0.3">
      <c r="A15" s="61"/>
      <c r="B15" s="1374" t="s">
        <v>1904</v>
      </c>
      <c r="C15" s="1375"/>
      <c r="D15" s="1374" t="s">
        <v>1904</v>
      </c>
      <c r="E15" s="1375"/>
      <c r="F15" s="1374" t="s">
        <v>1904</v>
      </c>
      <c r="G15" s="1375"/>
      <c r="H15" s="1374" t="s">
        <v>1904</v>
      </c>
      <c r="I15" s="1375"/>
      <c r="J15" s="1374" t="s">
        <v>1904</v>
      </c>
      <c r="K15" s="1375"/>
      <c r="L15" s="1374" t="s">
        <v>1904</v>
      </c>
      <c r="M15" s="1375"/>
      <c r="N15" s="1374" t="s">
        <v>1904</v>
      </c>
      <c r="O15" s="1375"/>
      <c r="P15" s="62"/>
    </row>
    <row r="16" spans="1:19" x14ac:dyDescent="0.3">
      <c r="A16" s="61"/>
      <c r="B16" s="1374" t="s">
        <v>1905</v>
      </c>
      <c r="C16" s="1375"/>
      <c r="D16" s="1374" t="s">
        <v>1905</v>
      </c>
      <c r="E16" s="1375"/>
      <c r="F16" s="1374" t="s">
        <v>1905</v>
      </c>
      <c r="G16" s="1375"/>
      <c r="H16" s="1374" t="s">
        <v>1905</v>
      </c>
      <c r="I16" s="1375"/>
      <c r="J16" s="1374" t="s">
        <v>1905</v>
      </c>
      <c r="K16" s="1375"/>
      <c r="L16" s="1374" t="s">
        <v>1905</v>
      </c>
      <c r="M16" s="1375"/>
      <c r="N16" s="1374" t="s">
        <v>1905</v>
      </c>
      <c r="O16" s="1375"/>
      <c r="P16" s="62"/>
    </row>
    <row r="17" spans="1:16" ht="16.2" thickBot="1" x14ac:dyDescent="0.35">
      <c r="A17" s="61"/>
      <c r="B17" s="1376" t="s">
        <v>1906</v>
      </c>
      <c r="C17" s="1377" t="str">
        <f>IF(ISBLANK(C15)," ", IF(C16/C15&gt;0,C16/C15))</f>
        <v xml:space="preserve"> </v>
      </c>
      <c r="D17" s="1376" t="s">
        <v>1906</v>
      </c>
      <c r="E17" s="1377" t="str">
        <f t="shared" ref="E17" si="0">IF(ISBLANK(E15)," ", IF(E16/E15&gt;0,E16/E15))</f>
        <v xml:space="preserve"> </v>
      </c>
      <c r="F17" s="1376" t="s">
        <v>1906</v>
      </c>
      <c r="G17" s="1377" t="str">
        <f t="shared" ref="G17" si="1">IF(ISBLANK(G15)," ", IF(G16/G15&gt;0,G16/G15))</f>
        <v xml:space="preserve"> </v>
      </c>
      <c r="H17" s="1376" t="s">
        <v>1906</v>
      </c>
      <c r="I17" s="1377" t="str">
        <f t="shared" ref="I17" si="2">IF(ISBLANK(I15)," ", IF(I16/I15&gt;0,I16/I15))</f>
        <v xml:space="preserve"> </v>
      </c>
      <c r="J17" s="1376" t="s">
        <v>1906</v>
      </c>
      <c r="K17" s="1377" t="str">
        <f t="shared" ref="K17" si="3">IF(ISBLANK(K15)," ", IF(K16/K15&gt;0,K16/K15))</f>
        <v xml:space="preserve"> </v>
      </c>
      <c r="L17" s="1376" t="s">
        <v>1906</v>
      </c>
      <c r="M17" s="1377" t="str">
        <f t="shared" ref="M17" si="4">IF(ISBLANK(M15)," ", IF(M16/M15&gt;0,M16/M15))</f>
        <v xml:space="preserve"> </v>
      </c>
      <c r="N17" s="1376" t="s">
        <v>1906</v>
      </c>
      <c r="O17" s="1377" t="str">
        <f t="shared" ref="O17" si="5">IF(ISBLANK(O15)," ", IF(O16/O15&gt;0,O16/O15))</f>
        <v xml:space="preserve"> </v>
      </c>
      <c r="P17" s="62"/>
    </row>
    <row r="18" spans="1:16" x14ac:dyDescent="0.3">
      <c r="A18" s="61"/>
      <c r="B18" s="795"/>
      <c r="O18" s="836"/>
      <c r="P18" s="62"/>
    </row>
    <row r="19" spans="1:16" ht="16.2" thickBot="1" x14ac:dyDescent="0.35">
      <c r="A19" s="61"/>
      <c r="B19" s="1486" t="s">
        <v>1907</v>
      </c>
      <c r="C19" s="1487"/>
      <c r="D19" s="1487"/>
      <c r="E19" s="1487"/>
      <c r="F19" s="1487"/>
      <c r="G19" s="1487"/>
      <c r="H19" s="1487"/>
      <c r="I19" s="1378" t="s">
        <v>92</v>
      </c>
      <c r="J19" s="1488" t="s">
        <v>1908</v>
      </c>
      <c r="K19" s="1489"/>
      <c r="L19" s="1489"/>
      <c r="M19" s="1489"/>
      <c r="N19" s="1489"/>
      <c r="O19" s="1375"/>
      <c r="P19" s="62"/>
    </row>
    <row r="20" spans="1:16" x14ac:dyDescent="0.3">
      <c r="A20" s="61"/>
      <c r="B20" s="1490" t="str">
        <f>IF(O19=1, "Add Unit 1", " ")</f>
        <v xml:space="preserve"> </v>
      </c>
      <c r="C20" s="1490"/>
      <c r="D20" s="1491" t="str">
        <f>IF($M$19&gt;=2,D13," ")</f>
        <v xml:space="preserve"> </v>
      </c>
      <c r="E20" s="1491"/>
      <c r="F20" s="1491" t="str">
        <f>IF($M$19&gt;=3,F13," ")</f>
        <v xml:space="preserve"> </v>
      </c>
      <c r="G20" s="1491"/>
      <c r="H20" s="1491" t="str">
        <f>IF($M$19&gt;=4,H13," ")</f>
        <v xml:space="preserve"> </v>
      </c>
      <c r="I20" s="1491"/>
      <c r="J20" s="1484" t="s">
        <v>1909</v>
      </c>
      <c r="K20" s="1492"/>
      <c r="L20" s="1491" t="str">
        <f>IF($M$19&gt;=6,L13," ")</f>
        <v xml:space="preserve"> </v>
      </c>
      <c r="M20" s="1491"/>
      <c r="N20" s="1491" t="str">
        <f>IF($M$19&gt;=7,N13," ")</f>
        <v xml:space="preserve"> </v>
      </c>
      <c r="O20" s="1493"/>
      <c r="P20" s="62"/>
    </row>
    <row r="21" spans="1:16" x14ac:dyDescent="0.3">
      <c r="A21" s="61"/>
      <c r="D21" s="1360"/>
      <c r="E21" s="1360"/>
      <c r="F21" s="1360"/>
      <c r="G21" s="1360"/>
      <c r="H21" s="1360"/>
      <c r="I21" s="1360"/>
      <c r="J21" s="1374" t="s">
        <v>1903</v>
      </c>
      <c r="K21" s="1375"/>
      <c r="L21" s="1360"/>
      <c r="M21" s="1360"/>
      <c r="N21" s="1360"/>
      <c r="O21" s="1379"/>
      <c r="P21" s="62"/>
    </row>
    <row r="22" spans="1:16" x14ac:dyDescent="0.3">
      <c r="A22" s="61"/>
      <c r="D22" s="1360"/>
      <c r="E22" s="1360"/>
      <c r="F22" s="1360"/>
      <c r="G22" s="1360"/>
      <c r="H22" s="1360"/>
      <c r="I22" s="1360"/>
      <c r="J22" s="1374" t="s">
        <v>1904</v>
      </c>
      <c r="K22" s="1375"/>
      <c r="L22" s="1360"/>
      <c r="M22" s="828"/>
      <c r="N22" s="1360"/>
      <c r="O22" s="1379"/>
      <c r="P22" s="62"/>
    </row>
    <row r="23" spans="1:16" x14ac:dyDescent="0.3">
      <c r="A23" s="61"/>
      <c r="D23" s="828" t="str">
        <f>IF($M$19&gt;=2,D14," ")</f>
        <v xml:space="preserve"> </v>
      </c>
      <c r="E23" s="828"/>
      <c r="F23" s="828" t="str">
        <f>IF($M$19&gt;=3,F14," ")</f>
        <v xml:space="preserve"> </v>
      </c>
      <c r="G23" s="828"/>
      <c r="H23" s="828" t="str">
        <f>IF($M$19&gt;=4,H14," ")</f>
        <v xml:space="preserve"> </v>
      </c>
      <c r="I23" s="828"/>
      <c r="J23" s="1374" t="s">
        <v>1905</v>
      </c>
      <c r="K23" s="1375"/>
      <c r="L23" s="828" t="str">
        <f>IF($M$19&gt;=6,L14," ")</f>
        <v xml:space="preserve"> </v>
      </c>
      <c r="M23" s="828"/>
      <c r="N23" s="828" t="str">
        <f>IF($M$19&gt;=7,N14," ")</f>
        <v xml:space="preserve"> </v>
      </c>
      <c r="O23" s="1380"/>
      <c r="P23" s="62"/>
    </row>
    <row r="24" spans="1:16" ht="16.2" thickBot="1" x14ac:dyDescent="0.35">
      <c r="A24" s="61"/>
      <c r="D24" s="828" t="str">
        <f>IF($M$19&gt;=2,D17," ")</f>
        <v xml:space="preserve"> </v>
      </c>
      <c r="E24" s="828" t="str">
        <f>IF($M$19&gt;=2,#REF!/#REF!," ")</f>
        <v xml:space="preserve"> </v>
      </c>
      <c r="F24" s="828" t="str">
        <f>IF($M$19&gt;=3,F17," ")</f>
        <v xml:space="preserve"> </v>
      </c>
      <c r="G24" s="828" t="str">
        <f>IF($M$19&gt;=3,#REF!/#REF!," ")</f>
        <v xml:space="preserve"> </v>
      </c>
      <c r="H24" s="828" t="str">
        <f>IF($M$19&gt;=4,H17," ")</f>
        <v xml:space="preserve"> </v>
      </c>
      <c r="I24" s="828" t="str">
        <f>IF($M$19&gt;=4,#REF!/#REF!," ")</f>
        <v xml:space="preserve"> </v>
      </c>
      <c r="J24" s="1376" t="s">
        <v>1906</v>
      </c>
      <c r="K24" s="1377" t="str">
        <f>IF(ISBLANK(K22)," ", IF(K23/K22&gt;0,K23/K22))</f>
        <v xml:space="preserve"> </v>
      </c>
      <c r="L24" s="828" t="str">
        <f>IF($M$19&gt;=6,L17," ")</f>
        <v xml:space="preserve"> </v>
      </c>
      <c r="M24" s="828" t="str">
        <f>IF($M$19&gt;=6,#REF!/#REF!," ")</f>
        <v xml:space="preserve"> </v>
      </c>
      <c r="N24" s="828" t="str">
        <f>IF($M$19&gt;=7,N17," ")</f>
        <v xml:space="preserve"> </v>
      </c>
      <c r="O24" s="1380" t="str">
        <f>IF($M$19&gt;=7,#REF!/#REF!," ")</f>
        <v xml:space="preserve"> </v>
      </c>
      <c r="P24" s="62"/>
    </row>
    <row r="25" spans="1:16" ht="114.75" customHeight="1" x14ac:dyDescent="0.3">
      <c r="A25" s="61"/>
      <c r="B25" s="1497" t="s">
        <v>1910</v>
      </c>
      <c r="C25" s="1498"/>
      <c r="D25" s="1498"/>
      <c r="E25" s="1498"/>
      <c r="F25" s="1498"/>
      <c r="G25" s="1498"/>
      <c r="H25" s="1498"/>
      <c r="I25" s="1498"/>
      <c r="J25" s="1498"/>
      <c r="K25" s="1498"/>
      <c r="L25" s="1498"/>
      <c r="M25" s="1498"/>
      <c r="N25" s="1498"/>
      <c r="O25" s="1499"/>
      <c r="P25" s="62"/>
    </row>
    <row r="26" spans="1:16" ht="16.2" thickBot="1" x14ac:dyDescent="0.35">
      <c r="A26" s="61"/>
      <c r="B26" s="795"/>
      <c r="O26" s="836"/>
      <c r="P26" s="62"/>
    </row>
    <row r="27" spans="1:16" ht="18.600000000000001" thickBot="1" x14ac:dyDescent="0.4">
      <c r="A27" s="61"/>
      <c r="B27" s="1476" t="s">
        <v>1911</v>
      </c>
      <c r="C27" s="1477"/>
      <c r="D27" s="1477"/>
      <c r="E27" s="1477"/>
      <c r="F27" s="1477"/>
      <c r="G27" s="1477"/>
      <c r="H27" s="1477"/>
      <c r="I27" s="1477"/>
      <c r="J27" s="1477"/>
      <c r="K27" s="1477"/>
      <c r="L27" s="1477"/>
      <c r="M27" s="1477"/>
      <c r="N27" s="1477"/>
      <c r="O27" s="1478"/>
      <c r="P27" s="62"/>
    </row>
    <row r="28" spans="1:16" x14ac:dyDescent="0.3">
      <c r="A28" s="61"/>
      <c r="B28" s="1484" t="s">
        <v>1896</v>
      </c>
      <c r="C28" s="1485"/>
      <c r="D28" s="1484" t="s">
        <v>1897</v>
      </c>
      <c r="E28" s="1485"/>
      <c r="F28" s="1484" t="s">
        <v>1898</v>
      </c>
      <c r="G28" s="1485"/>
      <c r="H28" s="1484" t="s">
        <v>1899</v>
      </c>
      <c r="I28" s="1485"/>
      <c r="J28" s="1484" t="s">
        <v>1900</v>
      </c>
      <c r="K28" s="1485"/>
      <c r="L28" s="1484" t="s">
        <v>1901</v>
      </c>
      <c r="M28" s="1485"/>
      <c r="N28" s="1484" t="s">
        <v>1902</v>
      </c>
      <c r="O28" s="1485"/>
      <c r="P28" s="62"/>
    </row>
    <row r="29" spans="1:16" x14ac:dyDescent="0.3">
      <c r="A29" s="61"/>
      <c r="B29" s="1374" t="s">
        <v>1903</v>
      </c>
      <c r="C29" s="1375"/>
      <c r="D29" s="1374" t="s">
        <v>1903</v>
      </c>
      <c r="E29" s="1375"/>
      <c r="F29" s="1374" t="s">
        <v>1903</v>
      </c>
      <c r="G29" s="1375"/>
      <c r="H29" s="1374" t="s">
        <v>1903</v>
      </c>
      <c r="I29" s="1375"/>
      <c r="J29" s="1374" t="s">
        <v>1903</v>
      </c>
      <c r="K29" s="1375"/>
      <c r="L29" s="1374" t="s">
        <v>1903</v>
      </c>
      <c r="M29" s="1375"/>
      <c r="N29" s="1374" t="s">
        <v>1903</v>
      </c>
      <c r="O29" s="1375"/>
      <c r="P29" s="62"/>
    </row>
    <row r="30" spans="1:16" x14ac:dyDescent="0.3">
      <c r="A30" s="61"/>
      <c r="B30" s="1374" t="s">
        <v>1904</v>
      </c>
      <c r="C30" s="1375"/>
      <c r="D30" s="1374" t="s">
        <v>1904</v>
      </c>
      <c r="E30" s="1375"/>
      <c r="F30" s="1374" t="s">
        <v>1904</v>
      </c>
      <c r="G30" s="1375"/>
      <c r="H30" s="1374" t="s">
        <v>1904</v>
      </c>
      <c r="I30" s="1375"/>
      <c r="J30" s="1374" t="s">
        <v>1904</v>
      </c>
      <c r="K30" s="1375"/>
      <c r="L30" s="1374" t="s">
        <v>1904</v>
      </c>
      <c r="M30" s="1375"/>
      <c r="N30" s="1374" t="s">
        <v>1904</v>
      </c>
      <c r="O30" s="1375"/>
      <c r="P30" s="62"/>
    </row>
    <row r="31" spans="1:16" x14ac:dyDescent="0.3">
      <c r="A31" s="61"/>
      <c r="B31" s="1374" t="s">
        <v>1905</v>
      </c>
      <c r="C31" s="1375"/>
      <c r="D31" s="1374" t="s">
        <v>1905</v>
      </c>
      <c r="E31" s="1375"/>
      <c r="F31" s="1374" t="s">
        <v>1905</v>
      </c>
      <c r="G31" s="1375"/>
      <c r="H31" s="1374" t="s">
        <v>1905</v>
      </c>
      <c r="I31" s="1375"/>
      <c r="J31" s="1374" t="s">
        <v>1905</v>
      </c>
      <c r="K31" s="1375"/>
      <c r="L31" s="1374" t="s">
        <v>1905</v>
      </c>
      <c r="M31" s="1375"/>
      <c r="N31" s="1374" t="s">
        <v>1905</v>
      </c>
      <c r="O31" s="1375"/>
      <c r="P31" s="62"/>
    </row>
    <row r="32" spans="1:16" ht="16.2" thickBot="1" x14ac:dyDescent="0.35">
      <c r="A32" s="61"/>
      <c r="B32" s="1376" t="s">
        <v>1906</v>
      </c>
      <c r="C32" s="1377" t="str">
        <f>IF(ISBLANK(C30)," ", IF(C31/C30&gt;0,C31/C30))</f>
        <v xml:space="preserve"> </v>
      </c>
      <c r="D32" s="1376" t="s">
        <v>1906</v>
      </c>
      <c r="E32" s="1377" t="str">
        <f t="shared" ref="E32" si="6">IF(ISBLANK(E30)," ", IF(E31/E30&gt;0,E31/E30))</f>
        <v xml:space="preserve"> </v>
      </c>
      <c r="F32" s="1376" t="s">
        <v>1906</v>
      </c>
      <c r="G32" s="1377" t="str">
        <f t="shared" ref="G32" si="7">IF(ISBLANK(G30)," ", IF(G31/G30&gt;0,G31/G30))</f>
        <v xml:space="preserve"> </v>
      </c>
      <c r="H32" s="1376" t="s">
        <v>1906</v>
      </c>
      <c r="I32" s="1377" t="str">
        <f t="shared" ref="I32" si="8">IF(ISBLANK(I30)," ", IF(I31/I30&gt;0,I31/I30))</f>
        <v xml:space="preserve"> </v>
      </c>
      <c r="J32" s="1376" t="s">
        <v>1906</v>
      </c>
      <c r="K32" s="1377" t="str">
        <f t="shared" ref="K32" si="9">IF(ISBLANK(K30)," ", IF(K31/K30&gt;0,K31/K30))</f>
        <v xml:space="preserve"> </v>
      </c>
      <c r="L32" s="1376" t="s">
        <v>1906</v>
      </c>
      <c r="M32" s="1377" t="str">
        <f t="shared" ref="M32" si="10">IF(ISBLANK(M30)," ", IF(M31/M30&gt;0,M31/M30))</f>
        <v xml:space="preserve"> </v>
      </c>
      <c r="N32" s="1376" t="s">
        <v>1906</v>
      </c>
      <c r="O32" s="1377" t="str">
        <f t="shared" ref="O32" si="11">IF(ISBLANK(O30)," ", IF(O31/O30&gt;0,O31/O30))</f>
        <v xml:space="preserve"> </v>
      </c>
      <c r="P32" s="62"/>
    </row>
    <row r="33" spans="1:16" x14ac:dyDescent="0.3">
      <c r="A33" s="61"/>
      <c r="B33" s="795"/>
      <c r="O33" s="836"/>
      <c r="P33" s="62"/>
    </row>
    <row r="34" spans="1:16" x14ac:dyDescent="0.3">
      <c r="A34" s="61"/>
      <c r="B34" s="1494" t="str">
        <f>IF(N10=2,"Sample Set 2", " ")</f>
        <v xml:space="preserve"> </v>
      </c>
      <c r="C34" s="1495"/>
      <c r="D34" s="1495"/>
      <c r="E34" s="1495"/>
      <c r="F34" s="1495"/>
      <c r="G34" s="1495"/>
      <c r="H34" s="1495"/>
      <c r="I34" s="1495"/>
      <c r="J34" s="1495"/>
      <c r="K34" s="1495"/>
      <c r="L34" s="1495"/>
      <c r="M34" s="1495"/>
      <c r="N34" s="1495"/>
      <c r="O34" s="1496"/>
      <c r="P34" s="62"/>
    </row>
    <row r="35" spans="1:16" x14ac:dyDescent="0.3">
      <c r="A35" s="61"/>
      <c r="B35" s="795"/>
      <c r="O35" s="836"/>
      <c r="P35" s="62"/>
    </row>
    <row r="36" spans="1:16" x14ac:dyDescent="0.3">
      <c r="A36" s="61"/>
      <c r="B36" s="795"/>
      <c r="O36" s="836"/>
      <c r="P36" s="62"/>
    </row>
    <row r="37" spans="1:16" x14ac:dyDescent="0.3">
      <c r="A37" s="61"/>
      <c r="B37" s="795"/>
      <c r="O37" s="836"/>
      <c r="P37" s="62"/>
    </row>
    <row r="38" spans="1:16" x14ac:dyDescent="0.3">
      <c r="A38" s="61"/>
      <c r="B38" s="795"/>
      <c r="O38" s="836"/>
      <c r="P38" s="62"/>
    </row>
    <row r="39" spans="1:16" x14ac:dyDescent="0.3">
      <c r="A39" s="61"/>
      <c r="B39" s="795"/>
      <c r="O39" s="836"/>
      <c r="P39" s="62"/>
    </row>
    <row r="40" spans="1:16" x14ac:dyDescent="0.3">
      <c r="A40" s="61"/>
      <c r="B40" s="795"/>
      <c r="O40" s="836"/>
      <c r="P40" s="62"/>
    </row>
    <row r="41" spans="1:16" x14ac:dyDescent="0.3">
      <c r="A41" s="61"/>
      <c r="B41" s="795"/>
      <c r="O41" s="836"/>
      <c r="P41" s="62"/>
    </row>
    <row r="42" spans="1:16" x14ac:dyDescent="0.3">
      <c r="A42" s="61"/>
      <c r="B42" s="795"/>
      <c r="O42" s="836"/>
      <c r="P42" s="62"/>
    </row>
    <row r="43" spans="1:16" x14ac:dyDescent="0.3">
      <c r="A43" s="61"/>
      <c r="B43" s="795"/>
      <c r="O43" s="836"/>
      <c r="P43" s="62"/>
    </row>
    <row r="44" spans="1:16" x14ac:dyDescent="0.3">
      <c r="A44" s="61"/>
      <c r="B44" s="795"/>
      <c r="O44" s="836"/>
      <c r="P44" s="62"/>
    </row>
    <row r="45" spans="1:16" x14ac:dyDescent="0.3">
      <c r="A45" s="61"/>
      <c r="B45" s="795"/>
      <c r="O45" s="836"/>
      <c r="P45" s="62"/>
    </row>
    <row r="46" spans="1:16" x14ac:dyDescent="0.3">
      <c r="A46" s="61"/>
      <c r="B46" s="795"/>
      <c r="O46" s="836"/>
      <c r="P46" s="62"/>
    </row>
    <row r="47" spans="1:16" x14ac:dyDescent="0.3">
      <c r="A47" s="61"/>
      <c r="B47" s="795"/>
      <c r="O47" s="836"/>
      <c r="P47" s="62"/>
    </row>
    <row r="48" spans="1:16" x14ac:dyDescent="0.3">
      <c r="A48" s="61"/>
      <c r="B48" s="795"/>
      <c r="O48" s="836"/>
      <c r="P48" s="62"/>
    </row>
    <row r="49" spans="1:16" x14ac:dyDescent="0.3">
      <c r="A49" s="61"/>
      <c r="B49" s="795"/>
      <c r="O49" s="836"/>
      <c r="P49" s="62"/>
    </row>
    <row r="50" spans="1:16" ht="16.2" thickBot="1" x14ac:dyDescent="0.35">
      <c r="A50" s="61"/>
      <c r="B50" s="1340"/>
      <c r="C50" s="1341"/>
      <c r="D50" s="1341"/>
      <c r="E50" s="1341"/>
      <c r="F50" s="1341"/>
      <c r="G50" s="1341"/>
      <c r="H50" s="1341"/>
      <c r="I50" s="1341"/>
      <c r="J50" s="1341"/>
      <c r="K50" s="1341"/>
      <c r="L50" s="1341"/>
      <c r="M50" s="1341"/>
      <c r="N50" s="1341"/>
      <c r="O50" s="1342"/>
      <c r="P50" s="62"/>
    </row>
    <row r="51" spans="1:16" ht="16.2" thickBot="1" x14ac:dyDescent="0.35">
      <c r="A51" s="63"/>
      <c r="B51" s="68"/>
      <c r="C51" s="68"/>
      <c r="D51" s="68"/>
      <c r="E51" s="68"/>
      <c r="F51" s="68"/>
      <c r="G51" s="68"/>
      <c r="H51" s="68"/>
      <c r="I51" s="68"/>
      <c r="J51" s="68"/>
      <c r="K51" s="68"/>
      <c r="L51" s="68"/>
      <c r="M51" s="68"/>
      <c r="N51" s="68"/>
      <c r="O51" s="68"/>
      <c r="P51" s="69"/>
    </row>
  </sheetData>
  <sheetProtection selectLockedCells="1"/>
  <mergeCells count="33">
    <mergeCell ref="B34:O34"/>
    <mergeCell ref="B25:O25"/>
    <mergeCell ref="B27:O27"/>
    <mergeCell ref="B28:C28"/>
    <mergeCell ref="D28:E28"/>
    <mergeCell ref="F28:G28"/>
    <mergeCell ref="H28:I28"/>
    <mergeCell ref="J28:K28"/>
    <mergeCell ref="L28:M28"/>
    <mergeCell ref="N28:O28"/>
    <mergeCell ref="B19:H19"/>
    <mergeCell ref="J19:N19"/>
    <mergeCell ref="B20:C20"/>
    <mergeCell ref="D20:E20"/>
    <mergeCell ref="F20:G20"/>
    <mergeCell ref="H20:I20"/>
    <mergeCell ref="J20:K20"/>
    <mergeCell ref="L20:M20"/>
    <mergeCell ref="N20:O20"/>
    <mergeCell ref="B12:O12"/>
    <mergeCell ref="B13:C13"/>
    <mergeCell ref="D13:E13"/>
    <mergeCell ref="F13:G13"/>
    <mergeCell ref="H13:I13"/>
    <mergeCell ref="J13:K13"/>
    <mergeCell ref="L13:M13"/>
    <mergeCell ref="N13:O13"/>
    <mergeCell ref="B2:O2"/>
    <mergeCell ref="B3:O3"/>
    <mergeCell ref="C9:N9"/>
    <mergeCell ref="C10:F10"/>
    <mergeCell ref="H10:J10"/>
    <mergeCell ref="K10:L10"/>
  </mergeCells>
  <conditionalFormatting sqref="J19">
    <cfRule type="expression" dxfId="1532" priority="1">
      <formula>$J$19="How many units?"</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AK72"/>
  <sheetViews>
    <sheetView topLeftCell="A13" zoomScaleNormal="100" zoomScalePageLayoutView="125" workbookViewId="0">
      <selection activeCell="J75" sqref="J75"/>
    </sheetView>
  </sheetViews>
  <sheetFormatPr defaultColWidth="10.8984375" defaultRowHeight="15.6" x14ac:dyDescent="0.3"/>
  <cols>
    <col min="1" max="1" width="1.8984375" customWidth="1"/>
    <col min="2" max="3" width="4.3984375" style="3" customWidth="1"/>
    <col min="4" max="9" width="4.3984375" customWidth="1"/>
    <col min="10" max="10" width="4.09765625" customWidth="1"/>
    <col min="11" max="14" width="4.3984375" customWidth="1"/>
    <col min="15" max="21" width="4.3984375" style="2" customWidth="1"/>
    <col min="22" max="22" width="11.59765625" style="2" customWidth="1"/>
    <col min="23" max="23" width="9.5" style="2" customWidth="1"/>
    <col min="24" max="24" width="7.09765625" style="2" customWidth="1"/>
    <col min="25" max="25" width="8.09765625" style="2" customWidth="1"/>
    <col min="26" max="26" width="7.5" style="2" customWidth="1"/>
    <col min="27" max="27" width="8" style="2" customWidth="1"/>
    <col min="28" max="28" width="7.5" style="2" customWidth="1"/>
    <col min="29" max="30" width="10.3984375" style="4" customWidth="1"/>
    <col min="31" max="31" width="1.8984375" customWidth="1"/>
    <col min="32" max="35" width="10.8984375" style="2" customWidth="1"/>
    <col min="36" max="16384" width="10.8984375" style="2"/>
  </cols>
  <sheetData>
    <row r="1" spans="1:37" customFormat="1" ht="14.25" customHeight="1" thickBot="1" x14ac:dyDescent="0.35">
      <c r="A1" s="58"/>
      <c r="B1" s="59"/>
      <c r="C1" s="59"/>
      <c r="D1" s="59"/>
      <c r="E1" s="59"/>
      <c r="F1" s="59"/>
      <c r="G1" s="59"/>
      <c r="H1" s="59"/>
      <c r="I1" s="59"/>
      <c r="J1" s="59"/>
      <c r="K1" s="59"/>
      <c r="L1" s="60"/>
      <c r="M1" s="59"/>
      <c r="N1" s="59"/>
      <c r="O1" s="59"/>
      <c r="P1" s="59"/>
      <c r="Q1" s="59"/>
      <c r="R1" s="59"/>
      <c r="S1" s="59"/>
      <c r="T1" s="59"/>
      <c r="U1" s="59"/>
      <c r="V1" s="59"/>
      <c r="W1" s="59"/>
      <c r="X1" s="59"/>
      <c r="Y1" s="59"/>
      <c r="Z1" s="59"/>
      <c r="AA1" s="59"/>
      <c r="AB1" s="59"/>
      <c r="AC1" s="59"/>
      <c r="AD1" s="59"/>
      <c r="AE1" s="60"/>
      <c r="AF1" s="5"/>
      <c r="AG1" s="5"/>
    </row>
    <row r="2" spans="1:37" s="5" customFormat="1" ht="99.75" customHeight="1" x14ac:dyDescent="0.3">
      <c r="A2" s="140"/>
      <c r="B2" s="1393" t="s">
        <v>393</v>
      </c>
      <c r="C2" s="1394"/>
      <c r="D2" s="1394"/>
      <c r="E2" s="1394"/>
      <c r="F2" s="1394"/>
      <c r="G2" s="1394"/>
      <c r="H2" s="1394"/>
      <c r="I2" s="1394"/>
      <c r="J2" s="1394"/>
      <c r="K2" s="1394"/>
      <c r="L2" s="1394"/>
      <c r="M2" s="1394"/>
      <c r="N2" s="1394"/>
      <c r="O2" s="1394"/>
      <c r="P2" s="1394"/>
      <c r="Q2" s="1394"/>
      <c r="R2" s="1394"/>
      <c r="S2" s="1394"/>
      <c r="T2" s="1394"/>
      <c r="U2" s="1394"/>
      <c r="V2" s="1394"/>
      <c r="W2" s="1394"/>
      <c r="X2" s="1394"/>
      <c r="Y2" s="1394"/>
      <c r="Z2" s="1394"/>
      <c r="AA2" s="1394"/>
      <c r="AB2" s="1394"/>
      <c r="AC2" s="1394"/>
      <c r="AD2" s="146"/>
      <c r="AE2" s="62"/>
    </row>
    <row r="3" spans="1:37" s="5" customFormat="1" ht="6" customHeight="1" x14ac:dyDescent="0.3">
      <c r="A3" s="61"/>
      <c r="B3" s="97"/>
      <c r="C3" s="18"/>
      <c r="D3" s="17"/>
      <c r="E3" s="17"/>
      <c r="F3" s="17"/>
      <c r="G3" s="17"/>
      <c r="H3" s="17"/>
      <c r="I3" s="17"/>
      <c r="J3" s="17"/>
      <c r="K3" s="17"/>
      <c r="L3" s="17"/>
      <c r="M3" s="17"/>
      <c r="N3" s="17"/>
      <c r="O3" s="34"/>
      <c r="P3" s="34"/>
      <c r="Q3" s="34"/>
      <c r="R3" s="34"/>
      <c r="S3" s="34"/>
      <c r="T3" s="34"/>
      <c r="U3" s="34"/>
      <c r="V3" s="34"/>
      <c r="W3" s="34"/>
      <c r="X3" s="98"/>
      <c r="Y3" s="99"/>
      <c r="Z3" s="100"/>
      <c r="AA3" s="100"/>
      <c r="AB3" s="101"/>
      <c r="AC3" s="102"/>
      <c r="AD3" s="102"/>
      <c r="AE3" s="62"/>
    </row>
    <row r="4" spans="1:37" s="14" customFormat="1" ht="109.5" customHeight="1" x14ac:dyDescent="0.3">
      <c r="A4" s="61"/>
      <c r="B4" s="1529" t="s">
        <v>1923</v>
      </c>
      <c r="C4" s="1530"/>
      <c r="D4" s="1530"/>
      <c r="E4" s="1530"/>
      <c r="F4" s="1530"/>
      <c r="G4" s="1530"/>
      <c r="H4" s="1530"/>
      <c r="I4" s="1530"/>
      <c r="J4" s="1530"/>
      <c r="K4" s="1530"/>
      <c r="L4" s="1530"/>
      <c r="M4" s="1530"/>
      <c r="N4" s="1530"/>
      <c r="O4" s="1530"/>
      <c r="P4" s="1530"/>
      <c r="Q4" s="1530"/>
      <c r="R4" s="1530"/>
      <c r="S4" s="1530"/>
      <c r="T4" s="1530"/>
      <c r="U4" s="1530"/>
      <c r="V4" s="1530"/>
      <c r="W4" s="1530"/>
      <c r="X4" s="1530"/>
      <c r="Y4" s="1530"/>
      <c r="Z4" s="1530"/>
      <c r="AA4" s="1530"/>
      <c r="AB4" s="1530"/>
      <c r="AC4" s="1530"/>
      <c r="AD4" s="283"/>
      <c r="AE4" s="62"/>
    </row>
    <row r="5" spans="1:37" s="5" customFormat="1" ht="6" customHeight="1" x14ac:dyDescent="0.3">
      <c r="A5" s="61"/>
      <c r="B5" s="97"/>
      <c r="C5" s="18"/>
      <c r="D5" s="17"/>
      <c r="E5" s="17"/>
      <c r="F5" s="17"/>
      <c r="G5" s="17"/>
      <c r="H5" s="17"/>
      <c r="I5" s="17"/>
      <c r="J5" s="17"/>
      <c r="K5" s="17"/>
      <c r="L5" s="17"/>
      <c r="M5" s="17"/>
      <c r="N5" s="17"/>
      <c r="O5" s="34"/>
      <c r="P5" s="34"/>
      <c r="Q5" s="34"/>
      <c r="R5" s="34"/>
      <c r="S5" s="34"/>
      <c r="T5" s="34"/>
      <c r="U5" s="34"/>
      <c r="V5" s="34"/>
      <c r="W5" s="34"/>
      <c r="X5" s="98"/>
      <c r="Y5" s="99"/>
      <c r="Z5" s="100"/>
      <c r="AA5" s="100"/>
      <c r="AB5" s="101"/>
      <c r="AC5" s="102"/>
      <c r="AD5" s="102"/>
      <c r="AE5" s="62"/>
    </row>
    <row r="6" spans="1:37" s="3" customFormat="1" ht="31.2" x14ac:dyDescent="0.3">
      <c r="A6" s="61"/>
      <c r="B6" s="103">
        <v>1</v>
      </c>
      <c r="C6" s="1523" t="s">
        <v>469</v>
      </c>
      <c r="D6" s="1523"/>
      <c r="E6" s="1523"/>
      <c r="F6" s="1523"/>
      <c r="G6" s="1523"/>
      <c r="H6" s="1523"/>
      <c r="I6" s="1523"/>
      <c r="J6" s="1523"/>
      <c r="K6" s="1523"/>
      <c r="L6" s="1523"/>
      <c r="M6" s="1523"/>
      <c r="N6" s="1523"/>
      <c r="O6" s="1523"/>
      <c r="P6" s="1523"/>
      <c r="Q6" s="1523"/>
      <c r="R6" s="1523"/>
      <c r="S6" s="1523"/>
      <c r="T6" s="1523"/>
      <c r="U6" s="1523"/>
      <c r="V6" s="1523"/>
      <c r="W6" s="1523"/>
      <c r="X6" s="1523"/>
      <c r="Y6" s="1523"/>
      <c r="Z6" s="1523"/>
      <c r="AA6" s="1523"/>
      <c r="AB6" s="73" t="s">
        <v>39</v>
      </c>
      <c r="AC6" s="73" t="s">
        <v>40</v>
      </c>
      <c r="AD6" s="284"/>
      <c r="AE6" s="62"/>
    </row>
    <row r="7" spans="1:37" x14ac:dyDescent="0.3">
      <c r="A7" s="61"/>
      <c r="B7" s="104">
        <v>1.1000000000000001</v>
      </c>
      <c r="C7" s="1524" t="s">
        <v>397</v>
      </c>
      <c r="D7" s="1524"/>
      <c r="E7" s="1524"/>
      <c r="F7" s="1524"/>
      <c r="G7" s="1525"/>
      <c r="H7" s="1525"/>
      <c r="I7" s="1525"/>
      <c r="J7" s="1524" t="s">
        <v>468</v>
      </c>
      <c r="K7" s="1526"/>
      <c r="L7" s="1526"/>
      <c r="M7" s="1526"/>
      <c r="N7" s="1526"/>
      <c r="O7" s="1526"/>
      <c r="P7" s="1526"/>
      <c r="Q7" s="1526"/>
      <c r="R7" s="1527"/>
      <c r="S7" s="1527"/>
      <c r="T7" s="1527"/>
      <c r="U7" s="1527"/>
      <c r="V7" s="191" t="s">
        <v>396</v>
      </c>
      <c r="W7" s="1528"/>
      <c r="X7" s="1528"/>
      <c r="Y7" s="191" t="s">
        <v>405</v>
      </c>
      <c r="Z7" s="1528"/>
      <c r="AA7" s="1528"/>
      <c r="AB7" s="192"/>
      <c r="AC7" s="193"/>
      <c r="AD7" s="285"/>
      <c r="AE7" s="62"/>
    </row>
    <row r="8" spans="1:37" x14ac:dyDescent="0.3">
      <c r="A8" s="61"/>
      <c r="B8" s="104"/>
      <c r="C8" s="1507" t="s">
        <v>432</v>
      </c>
      <c r="D8" s="1508"/>
      <c r="E8" s="1508"/>
      <c r="F8" s="1508"/>
      <c r="G8" s="1508"/>
      <c r="H8" s="1508"/>
      <c r="I8" s="1508"/>
      <c r="J8" s="1509"/>
      <c r="K8" s="1510"/>
      <c r="L8" s="1511"/>
      <c r="M8" s="1511"/>
      <c r="N8" s="1511"/>
      <c r="O8" s="1511"/>
      <c r="P8" s="1511"/>
      <c r="Q8" s="1511"/>
      <c r="R8" s="1511"/>
      <c r="S8" s="1511"/>
      <c r="T8" s="1511"/>
      <c r="U8" s="1511"/>
      <c r="V8" s="1511"/>
      <c r="W8" s="1511"/>
      <c r="X8" s="1511"/>
      <c r="Y8" s="1511"/>
      <c r="Z8" s="1511"/>
      <c r="AA8" s="1511"/>
      <c r="AB8" s="1511"/>
      <c r="AC8" s="1511"/>
      <c r="AD8" s="286"/>
      <c r="AE8" s="62"/>
      <c r="AJ8" s="195"/>
      <c r="AK8" s="195"/>
    </row>
    <row r="9" spans="1:37" x14ac:dyDescent="0.3">
      <c r="A9" s="61"/>
      <c r="B9" s="105">
        <v>1.2</v>
      </c>
      <c r="C9" s="1501" t="s">
        <v>470</v>
      </c>
      <c r="D9" s="1501"/>
      <c r="E9" s="1501"/>
      <c r="F9" s="1501"/>
      <c r="G9" s="1501"/>
      <c r="H9" s="1501"/>
      <c r="I9" s="1501"/>
      <c r="J9" s="1501"/>
      <c r="K9" s="1512"/>
      <c r="L9" s="1512"/>
      <c r="M9" s="1512"/>
      <c r="N9" s="1512"/>
      <c r="O9" s="1512"/>
      <c r="P9" s="1512"/>
      <c r="Q9" s="1512"/>
      <c r="R9" s="1512"/>
      <c r="S9" s="1512"/>
      <c r="T9" s="1512"/>
      <c r="U9" s="1512"/>
      <c r="V9" s="1512"/>
      <c r="W9" s="1512"/>
      <c r="X9" s="1512"/>
      <c r="Y9" s="1512"/>
      <c r="Z9" s="1512"/>
      <c r="AA9" s="1512"/>
      <c r="AB9" s="194"/>
      <c r="AC9" s="77"/>
      <c r="AD9" s="285"/>
      <c r="AE9" s="62"/>
      <c r="AJ9" s="195" t="s">
        <v>398</v>
      </c>
      <c r="AK9" s="195" t="s">
        <v>403</v>
      </c>
    </row>
    <row r="10" spans="1:37" ht="15" customHeight="1" x14ac:dyDescent="0.3">
      <c r="A10" s="61"/>
      <c r="B10" s="105">
        <v>1.3</v>
      </c>
      <c r="C10" s="1513" t="s">
        <v>21</v>
      </c>
      <c r="D10" s="1513"/>
      <c r="E10" s="1513"/>
      <c r="F10" s="1513"/>
      <c r="G10" s="1513"/>
      <c r="H10" s="1513"/>
      <c r="I10" s="1513"/>
      <c r="J10" s="1513"/>
      <c r="K10" s="1513"/>
      <c r="L10" s="1513"/>
      <c r="M10" s="1513"/>
      <c r="N10" s="1513"/>
      <c r="O10" s="1513"/>
      <c r="P10" s="1513"/>
      <c r="Q10" s="1513"/>
      <c r="R10" s="1513"/>
      <c r="S10" s="1513"/>
      <c r="T10" s="1513"/>
      <c r="U10" s="1513"/>
      <c r="V10" s="1513"/>
      <c r="W10" s="1513"/>
      <c r="X10" s="1513"/>
      <c r="Y10" s="1513"/>
      <c r="Z10" s="1513"/>
      <c r="AA10" s="1513"/>
      <c r="AB10" s="74"/>
      <c r="AC10" s="77"/>
      <c r="AD10" s="285"/>
      <c r="AE10" s="62"/>
      <c r="AJ10" s="195" t="s">
        <v>399</v>
      </c>
      <c r="AK10" s="195" t="s">
        <v>404</v>
      </c>
    </row>
    <row r="11" spans="1:37" ht="33" customHeight="1" x14ac:dyDescent="0.3">
      <c r="A11" s="61"/>
      <c r="B11" s="106">
        <v>1.4</v>
      </c>
      <c r="C11" s="1513" t="s">
        <v>408</v>
      </c>
      <c r="D11" s="1513"/>
      <c r="E11" s="1513"/>
      <c r="F11" s="1513"/>
      <c r="G11" s="1513"/>
      <c r="H11" s="1513"/>
      <c r="I11" s="1513"/>
      <c r="J11" s="1513"/>
      <c r="K11" s="1513"/>
      <c r="L11" s="1513"/>
      <c r="M11" s="1513"/>
      <c r="N11" s="1513"/>
      <c r="O11" s="1513"/>
      <c r="P11" s="1513"/>
      <c r="Q11" s="1513"/>
      <c r="R11" s="1513"/>
      <c r="S11" s="1513"/>
      <c r="T11" s="1513"/>
      <c r="U11" s="1513"/>
      <c r="V11" s="1513"/>
      <c r="W11" s="1513"/>
      <c r="X11" s="1513"/>
      <c r="Y11" s="1513"/>
      <c r="Z11" s="1513"/>
      <c r="AA11" s="1513"/>
      <c r="AB11" s="74"/>
      <c r="AC11" s="77"/>
      <c r="AD11" s="285"/>
      <c r="AE11" s="62"/>
      <c r="AJ11" s="195" t="s">
        <v>400</v>
      </c>
      <c r="AK11" s="195"/>
    </row>
    <row r="12" spans="1:37" x14ac:dyDescent="0.3">
      <c r="A12" s="61"/>
      <c r="B12" s="105">
        <v>1.5</v>
      </c>
      <c r="C12" s="1514" t="s">
        <v>471</v>
      </c>
      <c r="D12" s="1514"/>
      <c r="E12" s="1514"/>
      <c r="F12" s="1514"/>
      <c r="G12" s="1514"/>
      <c r="H12" s="1514"/>
      <c r="I12" s="1514"/>
      <c r="J12" s="1514"/>
      <c r="K12" s="1514"/>
      <c r="L12" s="1514"/>
      <c r="M12" s="1514"/>
      <c r="N12" s="1514"/>
      <c r="O12" s="1514"/>
      <c r="P12" s="1514"/>
      <c r="Q12" s="1514"/>
      <c r="R12" s="1514"/>
      <c r="S12" s="1514"/>
      <c r="T12" s="1514"/>
      <c r="U12" s="1514"/>
      <c r="V12" s="1514"/>
      <c r="W12" s="1514"/>
      <c r="X12" s="1514"/>
      <c r="Y12" s="1514"/>
      <c r="Z12" s="1514"/>
      <c r="AA12" s="1514"/>
      <c r="AB12" s="76"/>
      <c r="AC12" s="77"/>
      <c r="AD12" s="285"/>
      <c r="AE12" s="62"/>
      <c r="AJ12" s="195" t="s">
        <v>401</v>
      </c>
      <c r="AK12" s="195"/>
    </row>
    <row r="13" spans="1:37" x14ac:dyDescent="0.3">
      <c r="A13" s="61"/>
      <c r="B13" s="106">
        <v>1.6</v>
      </c>
      <c r="C13" s="1515" t="s">
        <v>22</v>
      </c>
      <c r="D13" s="1515"/>
      <c r="E13" s="1515"/>
      <c r="F13" s="1515"/>
      <c r="G13" s="1515"/>
      <c r="H13" s="1515"/>
      <c r="I13" s="1515"/>
      <c r="J13" s="1515"/>
      <c r="K13" s="1515"/>
      <c r="L13" s="1515"/>
      <c r="M13" s="1515"/>
      <c r="N13" s="1515"/>
      <c r="O13" s="1515"/>
      <c r="P13" s="1515"/>
      <c r="Q13" s="1515"/>
      <c r="R13" s="1515"/>
      <c r="S13" s="1515"/>
      <c r="T13" s="1515"/>
      <c r="U13" s="1515"/>
      <c r="V13" s="1515"/>
      <c r="W13" s="1515"/>
      <c r="X13" s="1515"/>
      <c r="Y13" s="1515"/>
      <c r="Z13" s="1515"/>
      <c r="AA13" s="1515"/>
      <c r="AB13" s="76"/>
      <c r="AC13" s="77"/>
      <c r="AD13" s="285"/>
      <c r="AE13" s="62"/>
      <c r="AJ13" s="195" t="s">
        <v>402</v>
      </c>
      <c r="AK13" s="195"/>
    </row>
    <row r="14" spans="1:37" ht="15" customHeight="1" x14ac:dyDescent="0.3">
      <c r="A14" s="61"/>
      <c r="B14" s="105">
        <v>1.7</v>
      </c>
      <c r="C14" s="1501" t="s">
        <v>472</v>
      </c>
      <c r="D14" s="1501"/>
      <c r="E14" s="1501"/>
      <c r="F14" s="1501"/>
      <c r="G14" s="1501"/>
      <c r="H14" s="1501"/>
      <c r="I14" s="1501"/>
      <c r="J14" s="1501"/>
      <c r="K14" s="1501"/>
      <c r="L14" s="1501"/>
      <c r="M14" s="1501"/>
      <c r="N14" s="1501"/>
      <c r="O14" s="1501"/>
      <c r="P14" s="1501"/>
      <c r="Q14" s="1501"/>
      <c r="R14" s="1501"/>
      <c r="S14" s="1501"/>
      <c r="T14" s="1501"/>
      <c r="U14" s="1501"/>
      <c r="V14" s="1501"/>
      <c r="W14" s="1501"/>
      <c r="X14" s="1501"/>
      <c r="Y14" s="1501"/>
      <c r="Z14" s="1501"/>
      <c r="AA14" s="1501"/>
      <c r="AB14" s="76"/>
      <c r="AC14" s="77"/>
      <c r="AD14" s="285"/>
      <c r="AE14" s="62"/>
    </row>
    <row r="15" spans="1:37" ht="29.25" customHeight="1" x14ac:dyDescent="0.3">
      <c r="A15" s="61"/>
      <c r="B15" s="105">
        <v>1.8</v>
      </c>
      <c r="C15" s="1502" t="s">
        <v>406</v>
      </c>
      <c r="D15" s="1502"/>
      <c r="E15" s="1502"/>
      <c r="F15" s="1502"/>
      <c r="G15" s="1502"/>
      <c r="H15" s="1502"/>
      <c r="I15" s="1502"/>
      <c r="J15" s="1502"/>
      <c r="K15" s="1502"/>
      <c r="L15" s="1502"/>
      <c r="M15" s="1502"/>
      <c r="N15" s="1502"/>
      <c r="O15" s="1502"/>
      <c r="P15" s="1502"/>
      <c r="Q15" s="1502"/>
      <c r="R15" s="1502"/>
      <c r="S15" s="1502"/>
      <c r="T15" s="1502"/>
      <c r="U15" s="1502"/>
      <c r="V15" s="1502"/>
      <c r="W15" s="1502"/>
      <c r="X15" s="1502"/>
      <c r="Y15" s="1502"/>
      <c r="Z15" s="1502"/>
      <c r="AA15" s="178"/>
      <c r="AB15" s="76"/>
      <c r="AC15" s="77"/>
      <c r="AD15" s="285"/>
      <c r="AE15" s="62"/>
    </row>
    <row r="16" spans="1:37" ht="48.75" customHeight="1" x14ac:dyDescent="0.3">
      <c r="A16" s="61"/>
      <c r="B16" s="106">
        <v>1.9</v>
      </c>
      <c r="C16" s="1500" t="s">
        <v>473</v>
      </c>
      <c r="D16" s="1500"/>
      <c r="E16" s="1500"/>
      <c r="F16" s="1500"/>
      <c r="G16" s="1500"/>
      <c r="H16" s="1500"/>
      <c r="I16" s="1500"/>
      <c r="J16" s="1500"/>
      <c r="K16" s="1500"/>
      <c r="L16" s="1500"/>
      <c r="M16" s="1500"/>
      <c r="N16" s="1500"/>
      <c r="O16" s="1500"/>
      <c r="P16" s="1500"/>
      <c r="Q16" s="1500"/>
      <c r="R16" s="1500"/>
      <c r="S16" s="1500"/>
      <c r="T16" s="1500"/>
      <c r="U16" s="1500"/>
      <c r="V16" s="1500"/>
      <c r="W16" s="1500"/>
      <c r="X16" s="1500"/>
      <c r="Y16" s="1500"/>
      <c r="Z16" s="1500"/>
      <c r="AA16" s="1500"/>
      <c r="AB16" s="76"/>
      <c r="AC16" s="77"/>
      <c r="AD16" s="285"/>
      <c r="AE16" s="62"/>
    </row>
    <row r="17" spans="1:35" ht="31.5" customHeight="1" x14ac:dyDescent="0.3">
      <c r="A17" s="61"/>
      <c r="B17" s="106" t="s">
        <v>455</v>
      </c>
      <c r="C17" s="1500" t="s">
        <v>445</v>
      </c>
      <c r="D17" s="1500"/>
      <c r="E17" s="1500"/>
      <c r="F17" s="1500"/>
      <c r="G17" s="1500"/>
      <c r="H17" s="1500"/>
      <c r="I17" s="1500"/>
      <c r="J17" s="1500"/>
      <c r="K17" s="1500"/>
      <c r="L17" s="1500"/>
      <c r="M17" s="1500"/>
      <c r="N17" s="1500"/>
      <c r="O17" s="1500"/>
      <c r="P17" s="1500"/>
      <c r="Q17" s="1500"/>
      <c r="R17" s="1500"/>
      <c r="S17" s="1500"/>
      <c r="T17" s="1500"/>
      <c r="U17" s="1500"/>
      <c r="V17" s="1500"/>
      <c r="W17" s="1500"/>
      <c r="X17" s="1500"/>
      <c r="Y17" s="1500"/>
      <c r="Z17" s="1500"/>
      <c r="AA17" s="1500"/>
      <c r="AB17" s="76"/>
      <c r="AC17" s="77"/>
      <c r="AD17" s="285"/>
      <c r="AE17" s="62"/>
    </row>
    <row r="18" spans="1:35" ht="15.9" customHeight="1" x14ac:dyDescent="0.3">
      <c r="A18" s="61"/>
      <c r="B18" s="107">
        <v>1.1000000000000001</v>
      </c>
      <c r="C18" s="1537" t="s">
        <v>1924</v>
      </c>
      <c r="D18" s="1538"/>
      <c r="E18" s="1538"/>
      <c r="F18" s="1538"/>
      <c r="G18" s="1538"/>
      <c r="H18" s="1538"/>
      <c r="I18" s="1538"/>
      <c r="J18" s="1538"/>
      <c r="K18" s="1538"/>
      <c r="L18" s="1538"/>
      <c r="M18" s="1538"/>
      <c r="N18" s="1538"/>
      <c r="O18" s="1538"/>
      <c r="P18" s="1538"/>
      <c r="Q18" s="1538"/>
      <c r="R18" s="1538"/>
      <c r="S18" s="1538"/>
      <c r="T18" s="1538"/>
      <c r="U18" s="1538"/>
      <c r="V18" s="1538"/>
      <c r="W18" s="1538"/>
      <c r="X18" s="1538"/>
      <c r="Y18" s="1538"/>
      <c r="Z18" s="1538"/>
      <c r="AA18" s="1539"/>
      <c r="AB18" s="76"/>
      <c r="AC18" s="77"/>
      <c r="AD18" s="285"/>
      <c r="AE18" s="62"/>
    </row>
    <row r="19" spans="1:35" x14ac:dyDescent="0.3">
      <c r="A19" s="61"/>
      <c r="B19" s="296">
        <v>1.1100000000000001</v>
      </c>
      <c r="C19" s="1537" t="s">
        <v>1925</v>
      </c>
      <c r="D19" s="1538"/>
      <c r="E19" s="1538"/>
      <c r="F19" s="1538"/>
      <c r="G19" s="1538"/>
      <c r="H19" s="1538"/>
      <c r="I19" s="1538"/>
      <c r="J19" s="1538"/>
      <c r="K19" s="1538"/>
      <c r="L19" s="1538"/>
      <c r="M19" s="1538"/>
      <c r="N19" s="1538"/>
      <c r="O19" s="1538"/>
      <c r="P19" s="1538"/>
      <c r="Q19" s="1538"/>
      <c r="R19" s="1538"/>
      <c r="S19" s="1538"/>
      <c r="T19" s="1538"/>
      <c r="U19" s="1538"/>
      <c r="V19" s="1538"/>
      <c r="W19" s="1538"/>
      <c r="X19" s="1538"/>
      <c r="Y19" s="1538"/>
      <c r="Z19" s="1538"/>
      <c r="AA19" s="1539"/>
      <c r="AB19" s="76"/>
      <c r="AC19" s="77"/>
      <c r="AD19" s="285"/>
      <c r="AE19" s="62"/>
    </row>
    <row r="20" spans="1:35" x14ac:dyDescent="0.3">
      <c r="A20" s="61"/>
      <c r="B20" s="107">
        <v>1.1200000000000001</v>
      </c>
      <c r="C20" s="1537" t="s">
        <v>446</v>
      </c>
      <c r="D20" s="1538"/>
      <c r="E20" s="1538"/>
      <c r="F20" s="1538"/>
      <c r="G20" s="1538"/>
      <c r="H20" s="1538"/>
      <c r="I20" s="1538"/>
      <c r="J20" s="1538"/>
      <c r="K20" s="1538"/>
      <c r="L20" s="1538"/>
      <c r="M20" s="1538"/>
      <c r="N20" s="1538"/>
      <c r="O20" s="1538"/>
      <c r="P20" s="1538"/>
      <c r="Q20" s="1538"/>
      <c r="R20" s="1538"/>
      <c r="S20" s="1538"/>
      <c r="T20" s="1538"/>
      <c r="U20" s="1538"/>
      <c r="V20" s="1538"/>
      <c r="W20" s="1538"/>
      <c r="X20" s="1538"/>
      <c r="Y20" s="1538"/>
      <c r="Z20" s="1538"/>
      <c r="AA20" s="1539"/>
      <c r="AB20" s="76"/>
      <c r="AC20" s="76"/>
      <c r="AD20" s="287"/>
      <c r="AE20" s="62"/>
    </row>
    <row r="21" spans="1:35" x14ac:dyDescent="0.3">
      <c r="A21" s="61"/>
      <c r="B21" s="296">
        <v>1.1299999999999999</v>
      </c>
      <c r="C21" s="1506" t="s">
        <v>442</v>
      </c>
      <c r="D21" s="1506"/>
      <c r="E21" s="1506"/>
      <c r="F21" s="1506"/>
      <c r="G21" s="1506"/>
      <c r="H21" s="1506"/>
      <c r="I21" s="1506"/>
      <c r="J21" s="1506"/>
      <c r="K21" s="1506"/>
      <c r="L21" s="1506"/>
      <c r="M21" s="1506"/>
      <c r="N21" s="1506"/>
      <c r="O21" s="1506"/>
      <c r="P21" s="1506"/>
      <c r="Q21" s="1506"/>
      <c r="R21" s="1506"/>
      <c r="S21" s="1506"/>
      <c r="T21" s="1506"/>
      <c r="U21" s="1506"/>
      <c r="V21" s="1506"/>
      <c r="W21" s="1506"/>
      <c r="X21" s="1506"/>
      <c r="Y21" s="1506"/>
      <c r="Z21" s="1506"/>
      <c r="AA21" s="1506"/>
      <c r="AB21" s="76"/>
      <c r="AC21" s="76"/>
      <c r="AD21" s="287"/>
      <c r="AE21" s="62"/>
    </row>
    <row r="22" spans="1:35" ht="17.100000000000001" customHeight="1" x14ac:dyDescent="0.3">
      <c r="A22" s="61"/>
      <c r="B22" s="108"/>
      <c r="C22" s="109"/>
      <c r="D22" s="55"/>
      <c r="E22" s="55"/>
      <c r="F22" s="55"/>
      <c r="G22" s="55"/>
      <c r="H22" s="55"/>
      <c r="I22" s="55"/>
      <c r="J22" s="55"/>
      <c r="K22" s="55"/>
      <c r="L22" s="55"/>
      <c r="M22" s="55"/>
      <c r="N22" s="55"/>
      <c r="O22" s="109"/>
      <c r="P22" s="109"/>
      <c r="Q22" s="109"/>
      <c r="R22" s="109"/>
      <c r="S22" s="109"/>
      <c r="T22" s="109"/>
      <c r="U22" s="109"/>
      <c r="V22" s="109"/>
      <c r="W22" s="109"/>
      <c r="X22" s="110"/>
      <c r="Y22" s="111"/>
      <c r="Z22" s="112"/>
      <c r="AA22" s="112"/>
      <c r="AB22" s="113"/>
      <c r="AC22" s="111"/>
      <c r="AD22" s="111"/>
      <c r="AE22" s="62"/>
    </row>
    <row r="23" spans="1:35" ht="48.75" customHeight="1" x14ac:dyDescent="0.3">
      <c r="A23" s="61"/>
      <c r="B23" s="103">
        <v>2</v>
      </c>
      <c r="C23" s="1503" t="s">
        <v>474</v>
      </c>
      <c r="D23" s="1504"/>
      <c r="E23" s="1504"/>
      <c r="F23" s="1504"/>
      <c r="G23" s="1504"/>
      <c r="H23" s="1504"/>
      <c r="I23" s="1504"/>
      <c r="J23" s="1504"/>
      <c r="K23" s="1504"/>
      <c r="L23" s="1504"/>
      <c r="M23" s="1504"/>
      <c r="N23" s="1504"/>
      <c r="O23" s="1504"/>
      <c r="P23" s="1504"/>
      <c r="Q23" s="1504"/>
      <c r="R23" s="1504"/>
      <c r="S23" s="1504"/>
      <c r="T23" s="1504"/>
      <c r="U23" s="1504"/>
      <c r="V23" s="1504"/>
      <c r="W23" s="1505"/>
      <c r="X23" s="72" t="s">
        <v>15</v>
      </c>
      <c r="Y23" s="73" t="s">
        <v>457</v>
      </c>
      <c r="Z23" s="73" t="s">
        <v>8</v>
      </c>
      <c r="AA23" s="73" t="s">
        <v>30</v>
      </c>
      <c r="AB23" s="79" t="s">
        <v>31</v>
      </c>
      <c r="AC23" s="73" t="s">
        <v>10</v>
      </c>
      <c r="AD23" s="217" t="s">
        <v>31</v>
      </c>
      <c r="AE23" s="62"/>
    </row>
    <row r="24" spans="1:35" x14ac:dyDescent="0.3">
      <c r="A24" s="61"/>
      <c r="B24" s="114">
        <v>2.1</v>
      </c>
      <c r="C24" s="1501" t="s">
        <v>16</v>
      </c>
      <c r="D24" s="1501"/>
      <c r="E24" s="1501"/>
      <c r="F24" s="1501"/>
      <c r="G24" s="1501"/>
      <c r="H24" s="1501"/>
      <c r="I24" s="1501"/>
      <c r="J24" s="1501"/>
      <c r="K24" s="1501"/>
      <c r="L24" s="1501"/>
      <c r="M24" s="1501"/>
      <c r="N24" s="1501"/>
      <c r="O24" s="1501"/>
      <c r="P24" s="1501"/>
      <c r="Q24" s="1501"/>
      <c r="R24" s="1501"/>
      <c r="S24" s="1501"/>
      <c r="T24" s="1501"/>
      <c r="U24" s="1501"/>
      <c r="V24" s="1501"/>
      <c r="W24" s="1501"/>
      <c r="X24" s="179"/>
      <c r="Y24" s="179"/>
      <c r="Z24" s="80"/>
      <c r="AA24" s="80"/>
      <c r="AB24" s="188" t="str">
        <f>IF(ISBLANK(Y24)," ",IF(Y24&gt;=X24,"YES","NO"))</f>
        <v xml:space="preserve"> </v>
      </c>
      <c r="AC24" s="81"/>
      <c r="AD24" s="219"/>
      <c r="AE24" s="62"/>
    </row>
    <row r="25" spans="1:35" ht="15" customHeight="1" x14ac:dyDescent="0.3">
      <c r="A25" s="61"/>
      <c r="B25" s="114">
        <v>2.2000000000000002</v>
      </c>
      <c r="C25" s="1501" t="s">
        <v>17</v>
      </c>
      <c r="D25" s="1501"/>
      <c r="E25" s="1501"/>
      <c r="F25" s="1501"/>
      <c r="G25" s="1501"/>
      <c r="H25" s="1501"/>
      <c r="I25" s="1501"/>
      <c r="J25" s="1501"/>
      <c r="K25" s="1501"/>
      <c r="L25" s="1501"/>
      <c r="M25" s="1501"/>
      <c r="N25" s="1501"/>
      <c r="O25" s="1501"/>
      <c r="P25" s="1501"/>
      <c r="Q25" s="1501"/>
      <c r="R25" s="1501"/>
      <c r="S25" s="1501"/>
      <c r="T25" s="1501"/>
      <c r="U25" s="1501"/>
      <c r="V25" s="1501"/>
      <c r="W25" s="1501"/>
      <c r="X25" s="179"/>
      <c r="Y25" s="179"/>
      <c r="Z25" s="80"/>
      <c r="AA25" s="80"/>
      <c r="AB25" s="188" t="str">
        <f>IF(ISBLANK(Y25)," ",IF(Y25&gt;=X25,"YES","NO"))</f>
        <v xml:space="preserve"> </v>
      </c>
      <c r="AC25" s="81"/>
      <c r="AD25" s="219"/>
      <c r="AE25" s="62"/>
    </row>
    <row r="26" spans="1:35" ht="15" customHeight="1" x14ac:dyDescent="0.3">
      <c r="A26" s="61"/>
      <c r="B26" s="114">
        <v>2.2999999999999998</v>
      </c>
      <c r="C26" s="1501" t="s">
        <v>394</v>
      </c>
      <c r="D26" s="1501"/>
      <c r="E26" s="1501"/>
      <c r="F26" s="1501"/>
      <c r="G26" s="1501"/>
      <c r="H26" s="1501"/>
      <c r="I26" s="1501"/>
      <c r="J26" s="1501"/>
      <c r="K26" s="1501"/>
      <c r="L26" s="1501"/>
      <c r="M26" s="1501"/>
      <c r="N26" s="1501"/>
      <c r="O26" s="1501"/>
      <c r="P26" s="1501"/>
      <c r="Q26" s="1501"/>
      <c r="R26" s="1501"/>
      <c r="S26" s="1501"/>
      <c r="T26" s="1501"/>
      <c r="U26" s="1501"/>
      <c r="V26" s="1501"/>
      <c r="W26" s="1501"/>
      <c r="X26" s="80"/>
      <c r="Y26" s="80"/>
      <c r="Z26" s="187" t="str">
        <f>IF(OR(ISBLANK(Y24),ISBLANK(Y25))," ",(Y24/Y25-100%))</f>
        <v xml:space="preserve"> </v>
      </c>
      <c r="AA26" s="80"/>
      <c r="AB26" s="188" t="str">
        <f>IF(ISBLANK(Y25)," ",IF(Z26&gt;10.499%,"NO",IF(Z26&lt;-10.499%,"NO","YES")))</f>
        <v xml:space="preserve"> </v>
      </c>
      <c r="AC26" s="82"/>
      <c r="AD26" s="219"/>
      <c r="AE26" s="62"/>
    </row>
    <row r="27" spans="1:35" ht="3.75" customHeight="1" x14ac:dyDescent="0.3">
      <c r="A27" s="61"/>
      <c r="B27" s="115"/>
      <c r="C27" s="116"/>
      <c r="D27" s="42"/>
      <c r="E27" s="42"/>
      <c r="F27" s="42"/>
      <c r="G27" s="42"/>
      <c r="H27" s="42"/>
      <c r="I27" s="42"/>
      <c r="J27" s="42"/>
      <c r="K27" s="42"/>
      <c r="L27" s="42"/>
      <c r="M27" s="42"/>
      <c r="N27" s="42"/>
      <c r="O27" s="117"/>
      <c r="P27" s="117"/>
      <c r="Q27" s="117"/>
      <c r="R27" s="117"/>
      <c r="S27" s="117"/>
      <c r="T27" s="117"/>
      <c r="U27" s="117"/>
      <c r="V27" s="117"/>
      <c r="W27" s="117"/>
      <c r="X27" s="118"/>
      <c r="Y27" s="119"/>
      <c r="Z27" s="120"/>
      <c r="AA27" s="120"/>
      <c r="AB27" s="121"/>
      <c r="AC27" s="120"/>
      <c r="AE27" s="62"/>
    </row>
    <row r="28" spans="1:35" s="5" customFormat="1" ht="12.75" customHeight="1" x14ac:dyDescent="0.3">
      <c r="A28" s="61"/>
      <c r="B28" s="1519">
        <v>2.4</v>
      </c>
      <c r="C28" s="1501" t="s">
        <v>11</v>
      </c>
      <c r="D28" s="1501"/>
      <c r="E28" s="1501"/>
      <c r="F28" s="1501"/>
      <c r="G28" s="1501"/>
      <c r="H28" s="1501"/>
      <c r="I28" s="1501"/>
      <c r="J28" s="1501"/>
      <c r="K28" s="1501"/>
      <c r="L28" s="1501"/>
      <c r="M28" s="1501"/>
      <c r="N28" s="1501"/>
      <c r="O28" s="1501"/>
      <c r="P28" s="1501"/>
      <c r="Q28" s="1501"/>
      <c r="R28" s="1501"/>
      <c r="S28" s="1501"/>
      <c r="T28" s="1501"/>
      <c r="U28" s="1501"/>
      <c r="V28" s="1501"/>
      <c r="W28" s="1501"/>
      <c r="X28" s="180"/>
      <c r="Y28" s="181"/>
      <c r="Z28" s="184" t="str">
        <f>IF(ISBLANK(Y28)," ",(Y28/X28-1))</f>
        <v xml:space="preserve"> </v>
      </c>
      <c r="AA28" s="185" t="str">
        <f>IF(ISBLANK(Y28)," ",(Y28-X28))</f>
        <v xml:space="preserve"> </v>
      </c>
      <c r="AB28" s="185" t="str">
        <f>IF(ISBLANK(Y28)," ",IF(AA28&gt;AI28,"NO",IF(AA28&lt;-AI28,"NO","YES")))</f>
        <v xml:space="preserve"> </v>
      </c>
      <c r="AC28" s="196"/>
      <c r="AD28" s="220" t="str">
        <f>IF(ISBLANK(AC28)," ",IF(AC28&lt;1.4999,"YES","NO"))</f>
        <v xml:space="preserve"> </v>
      </c>
      <c r="AE28" s="62"/>
      <c r="AG28" s="2">
        <f t="shared" ref="AG28:AG35" si="0">X28*0.2</f>
        <v>0</v>
      </c>
      <c r="AH28" s="2">
        <v>5</v>
      </c>
      <c r="AI28" s="2">
        <f>IF(AH28&gt;AG28,AH28,AG28)</f>
        <v>5</v>
      </c>
    </row>
    <row r="29" spans="1:35" ht="15" customHeight="1" x14ac:dyDescent="0.3">
      <c r="A29" s="61"/>
      <c r="B29" s="1520"/>
      <c r="C29" s="1501" t="s">
        <v>11</v>
      </c>
      <c r="D29" s="1501"/>
      <c r="E29" s="1501"/>
      <c r="F29" s="1501"/>
      <c r="G29" s="1501"/>
      <c r="H29" s="1501"/>
      <c r="I29" s="1501"/>
      <c r="J29" s="1501"/>
      <c r="K29" s="1501"/>
      <c r="L29" s="1501"/>
      <c r="M29" s="1501"/>
      <c r="N29" s="1501"/>
      <c r="O29" s="1501"/>
      <c r="P29" s="1501"/>
      <c r="Q29" s="1501"/>
      <c r="R29" s="1501"/>
      <c r="S29" s="1501"/>
      <c r="T29" s="1501"/>
      <c r="U29" s="1501"/>
      <c r="V29" s="1501"/>
      <c r="W29" s="1501"/>
      <c r="X29" s="182"/>
      <c r="Y29" s="183"/>
      <c r="Z29" s="184" t="str">
        <f t="shared" ref="Z29:Z44" si="1">IF(ISBLANK(Y29)," ",(Y29/X29-1))</f>
        <v xml:space="preserve"> </v>
      </c>
      <c r="AA29" s="185" t="str">
        <f t="shared" ref="AA29:AA44" si="2">IF(ISBLANK(Y29)," ",(Y29-X29))</f>
        <v xml:space="preserve"> </v>
      </c>
      <c r="AB29" s="185" t="str">
        <f t="shared" ref="AB29:AB44" si="3">IF(ISBLANK(Y29)," ",IF(AA29&gt;AI29,"NO",IF(AA29&lt;-AI29,"NO","YES")))</f>
        <v xml:space="preserve"> </v>
      </c>
      <c r="AC29" s="197"/>
      <c r="AD29" s="220" t="str">
        <f t="shared" ref="AD29:AD44" si="4">IF(ISBLANK(AC29)," ",IF(AC29&lt;1.4999,"YES","NO"))</f>
        <v xml:space="preserve"> </v>
      </c>
      <c r="AE29" s="62"/>
      <c r="AG29" s="2">
        <f t="shared" si="0"/>
        <v>0</v>
      </c>
      <c r="AH29" s="2">
        <v>5</v>
      </c>
      <c r="AI29" s="2">
        <f t="shared" ref="AI29:AI35" si="5">IF(AH29&gt;AG29,AH29,AG29)</f>
        <v>5</v>
      </c>
    </row>
    <row r="30" spans="1:35" ht="15" customHeight="1" x14ac:dyDescent="0.3">
      <c r="A30" s="61"/>
      <c r="B30" s="1520"/>
      <c r="C30" s="1501" t="s">
        <v>11</v>
      </c>
      <c r="D30" s="1501"/>
      <c r="E30" s="1501"/>
      <c r="F30" s="1501"/>
      <c r="G30" s="1501"/>
      <c r="H30" s="1501"/>
      <c r="I30" s="1501"/>
      <c r="J30" s="1501"/>
      <c r="K30" s="1501"/>
      <c r="L30" s="1501"/>
      <c r="M30" s="1501"/>
      <c r="N30" s="1501"/>
      <c r="O30" s="1501"/>
      <c r="P30" s="1501"/>
      <c r="Q30" s="1501"/>
      <c r="R30" s="1501"/>
      <c r="S30" s="1501"/>
      <c r="T30" s="1501"/>
      <c r="U30" s="1501"/>
      <c r="V30" s="1501"/>
      <c r="W30" s="1501"/>
      <c r="X30" s="182"/>
      <c r="Y30" s="183"/>
      <c r="Z30" s="184" t="str">
        <f t="shared" si="1"/>
        <v xml:space="preserve"> </v>
      </c>
      <c r="AA30" s="185" t="str">
        <f t="shared" si="2"/>
        <v xml:space="preserve"> </v>
      </c>
      <c r="AB30" s="185" t="str">
        <f t="shared" si="3"/>
        <v xml:space="preserve"> </v>
      </c>
      <c r="AC30" s="197"/>
      <c r="AD30" s="220" t="str">
        <f t="shared" si="4"/>
        <v xml:space="preserve"> </v>
      </c>
      <c r="AE30" s="62"/>
      <c r="AG30" s="2">
        <f t="shared" si="0"/>
        <v>0</v>
      </c>
      <c r="AH30" s="2">
        <v>5</v>
      </c>
      <c r="AI30" s="2">
        <f t="shared" si="5"/>
        <v>5</v>
      </c>
    </row>
    <row r="31" spans="1:35" ht="15" customHeight="1" x14ac:dyDescent="0.3">
      <c r="A31" s="61"/>
      <c r="B31" s="1520"/>
      <c r="C31" s="1501" t="s">
        <v>11</v>
      </c>
      <c r="D31" s="1501"/>
      <c r="E31" s="1501"/>
      <c r="F31" s="1501"/>
      <c r="G31" s="1501"/>
      <c r="H31" s="1501"/>
      <c r="I31" s="1501"/>
      <c r="J31" s="1501"/>
      <c r="K31" s="1501"/>
      <c r="L31" s="1501"/>
      <c r="M31" s="1501"/>
      <c r="N31" s="1501"/>
      <c r="O31" s="1501"/>
      <c r="P31" s="1501"/>
      <c r="Q31" s="1501"/>
      <c r="R31" s="1501"/>
      <c r="S31" s="1501"/>
      <c r="T31" s="1501"/>
      <c r="U31" s="1501"/>
      <c r="V31" s="1501"/>
      <c r="W31" s="1501"/>
      <c r="X31" s="182"/>
      <c r="Y31" s="183"/>
      <c r="Z31" s="184" t="str">
        <f t="shared" si="1"/>
        <v xml:space="preserve"> </v>
      </c>
      <c r="AA31" s="185" t="str">
        <f t="shared" si="2"/>
        <v xml:space="preserve"> </v>
      </c>
      <c r="AB31" s="185" t="str">
        <f t="shared" si="3"/>
        <v xml:space="preserve"> </v>
      </c>
      <c r="AC31" s="197"/>
      <c r="AD31" s="220" t="str">
        <f t="shared" si="4"/>
        <v xml:space="preserve"> </v>
      </c>
      <c r="AE31" s="62"/>
      <c r="AG31" s="2">
        <f t="shared" si="0"/>
        <v>0</v>
      </c>
      <c r="AH31" s="2">
        <v>5</v>
      </c>
      <c r="AI31" s="2">
        <f t="shared" si="5"/>
        <v>5</v>
      </c>
    </row>
    <row r="32" spans="1:35" ht="15" customHeight="1" x14ac:dyDescent="0.3">
      <c r="A32" s="61"/>
      <c r="B32" s="1520"/>
      <c r="C32" s="1501" t="s">
        <v>11</v>
      </c>
      <c r="D32" s="1501"/>
      <c r="E32" s="1501"/>
      <c r="F32" s="1501"/>
      <c r="G32" s="1501"/>
      <c r="H32" s="1501"/>
      <c r="I32" s="1501"/>
      <c r="J32" s="1501"/>
      <c r="K32" s="1501"/>
      <c r="L32" s="1501"/>
      <c r="M32" s="1501"/>
      <c r="N32" s="1501"/>
      <c r="O32" s="1501"/>
      <c r="P32" s="1501"/>
      <c r="Q32" s="1501"/>
      <c r="R32" s="1501"/>
      <c r="S32" s="1501"/>
      <c r="T32" s="1501"/>
      <c r="U32" s="1501"/>
      <c r="V32" s="1501"/>
      <c r="W32" s="1501"/>
      <c r="X32" s="182"/>
      <c r="Y32" s="183"/>
      <c r="Z32" s="184" t="str">
        <f t="shared" si="1"/>
        <v xml:space="preserve"> </v>
      </c>
      <c r="AA32" s="185" t="str">
        <f t="shared" si="2"/>
        <v xml:space="preserve"> </v>
      </c>
      <c r="AB32" s="185" t="str">
        <f t="shared" si="3"/>
        <v xml:space="preserve"> </v>
      </c>
      <c r="AC32" s="197"/>
      <c r="AD32" s="220" t="str">
        <f t="shared" si="4"/>
        <v xml:space="preserve"> </v>
      </c>
      <c r="AE32" s="62"/>
      <c r="AG32" s="2">
        <f t="shared" si="0"/>
        <v>0</v>
      </c>
      <c r="AH32" s="2">
        <v>5</v>
      </c>
      <c r="AI32" s="2">
        <f t="shared" si="5"/>
        <v>5</v>
      </c>
    </row>
    <row r="33" spans="1:35" ht="15" customHeight="1" x14ac:dyDescent="0.3">
      <c r="A33" s="61"/>
      <c r="B33" s="1520"/>
      <c r="C33" s="1501" t="s">
        <v>11</v>
      </c>
      <c r="D33" s="1501"/>
      <c r="E33" s="1501"/>
      <c r="F33" s="1501"/>
      <c r="G33" s="1501"/>
      <c r="H33" s="1501"/>
      <c r="I33" s="1501"/>
      <c r="J33" s="1501"/>
      <c r="K33" s="1501"/>
      <c r="L33" s="1501"/>
      <c r="M33" s="1501"/>
      <c r="N33" s="1501"/>
      <c r="O33" s="1501"/>
      <c r="P33" s="1501"/>
      <c r="Q33" s="1501"/>
      <c r="R33" s="1501"/>
      <c r="S33" s="1501"/>
      <c r="T33" s="1501"/>
      <c r="U33" s="1501"/>
      <c r="V33" s="1501"/>
      <c r="W33" s="1501"/>
      <c r="X33" s="182"/>
      <c r="Y33" s="183"/>
      <c r="Z33" s="184" t="str">
        <f t="shared" si="1"/>
        <v xml:space="preserve"> </v>
      </c>
      <c r="AA33" s="185" t="str">
        <f t="shared" si="2"/>
        <v xml:space="preserve"> </v>
      </c>
      <c r="AB33" s="185" t="str">
        <f t="shared" si="3"/>
        <v xml:space="preserve"> </v>
      </c>
      <c r="AC33" s="197"/>
      <c r="AD33" s="220" t="str">
        <f t="shared" si="4"/>
        <v xml:space="preserve"> </v>
      </c>
      <c r="AE33" s="62"/>
      <c r="AG33" s="2">
        <f t="shared" si="0"/>
        <v>0</v>
      </c>
      <c r="AH33" s="2">
        <v>5</v>
      </c>
      <c r="AI33" s="2">
        <f t="shared" si="5"/>
        <v>5</v>
      </c>
    </row>
    <row r="34" spans="1:35" ht="15" customHeight="1" x14ac:dyDescent="0.3">
      <c r="A34" s="61"/>
      <c r="B34" s="1520"/>
      <c r="C34" s="1501" t="s">
        <v>11</v>
      </c>
      <c r="D34" s="1501"/>
      <c r="E34" s="1501"/>
      <c r="F34" s="1501"/>
      <c r="G34" s="1501"/>
      <c r="H34" s="1501"/>
      <c r="I34" s="1501"/>
      <c r="J34" s="1501"/>
      <c r="K34" s="1501"/>
      <c r="L34" s="1501"/>
      <c r="M34" s="1501"/>
      <c r="N34" s="1501"/>
      <c r="O34" s="1501"/>
      <c r="P34" s="1501"/>
      <c r="Q34" s="1501"/>
      <c r="R34" s="1501"/>
      <c r="S34" s="1501"/>
      <c r="T34" s="1501"/>
      <c r="U34" s="1501"/>
      <c r="V34" s="1501"/>
      <c r="W34" s="1501"/>
      <c r="X34" s="182"/>
      <c r="Y34" s="183"/>
      <c r="Z34" s="184" t="str">
        <f t="shared" si="1"/>
        <v xml:space="preserve"> </v>
      </c>
      <c r="AA34" s="185" t="str">
        <f t="shared" si="2"/>
        <v xml:space="preserve"> </v>
      </c>
      <c r="AB34" s="185" t="str">
        <f t="shared" si="3"/>
        <v xml:space="preserve"> </v>
      </c>
      <c r="AC34" s="197"/>
      <c r="AD34" s="220" t="str">
        <f t="shared" si="4"/>
        <v xml:space="preserve"> </v>
      </c>
      <c r="AE34" s="62"/>
      <c r="AG34" s="2">
        <f t="shared" si="0"/>
        <v>0</v>
      </c>
      <c r="AH34" s="2">
        <v>5</v>
      </c>
      <c r="AI34" s="2">
        <f t="shared" si="5"/>
        <v>5</v>
      </c>
    </row>
    <row r="35" spans="1:35" ht="15" customHeight="1" x14ac:dyDescent="0.3">
      <c r="A35" s="61"/>
      <c r="B35" s="1520"/>
      <c r="C35" s="1501" t="s">
        <v>11</v>
      </c>
      <c r="D35" s="1501"/>
      <c r="E35" s="1501"/>
      <c r="F35" s="1501"/>
      <c r="G35" s="1501"/>
      <c r="H35" s="1501"/>
      <c r="I35" s="1501"/>
      <c r="J35" s="1501"/>
      <c r="K35" s="1501"/>
      <c r="L35" s="1501"/>
      <c r="M35" s="1501"/>
      <c r="N35" s="1501"/>
      <c r="O35" s="1501"/>
      <c r="P35" s="1501"/>
      <c r="Q35" s="1501"/>
      <c r="R35" s="1501"/>
      <c r="S35" s="1501"/>
      <c r="T35" s="1501"/>
      <c r="U35" s="1501"/>
      <c r="V35" s="1501"/>
      <c r="W35" s="1501"/>
      <c r="X35" s="182"/>
      <c r="Y35" s="183"/>
      <c r="Z35" s="184" t="str">
        <f t="shared" si="1"/>
        <v xml:space="preserve"> </v>
      </c>
      <c r="AA35" s="185" t="str">
        <f t="shared" si="2"/>
        <v xml:space="preserve"> </v>
      </c>
      <c r="AB35" s="185" t="str">
        <f t="shared" si="3"/>
        <v xml:space="preserve"> </v>
      </c>
      <c r="AC35" s="197"/>
      <c r="AD35" s="220" t="str">
        <f t="shared" si="4"/>
        <v xml:space="preserve"> </v>
      </c>
      <c r="AE35" s="62"/>
      <c r="AG35" s="2">
        <f t="shared" si="0"/>
        <v>0</v>
      </c>
      <c r="AH35" s="2">
        <v>5</v>
      </c>
      <c r="AI35" s="2">
        <f t="shared" si="5"/>
        <v>5</v>
      </c>
    </row>
    <row r="36" spans="1:35" ht="15" customHeight="1" x14ac:dyDescent="0.3">
      <c r="A36" s="61"/>
      <c r="B36" s="1521"/>
      <c r="C36" s="1522" t="s">
        <v>12</v>
      </c>
      <c r="D36" s="1522"/>
      <c r="E36" s="1522"/>
      <c r="F36" s="1522"/>
      <c r="G36" s="1522"/>
      <c r="H36" s="1522"/>
      <c r="I36" s="1522"/>
      <c r="J36" s="1522"/>
      <c r="K36" s="1522"/>
      <c r="L36" s="1522"/>
      <c r="M36" s="1522"/>
      <c r="N36" s="1522"/>
      <c r="O36" s="1522"/>
      <c r="P36" s="1522"/>
      <c r="Q36" s="1522"/>
      <c r="R36" s="1522"/>
      <c r="S36" s="1522"/>
      <c r="T36" s="1522"/>
      <c r="U36" s="1522"/>
      <c r="V36" s="1522"/>
      <c r="W36" s="1522"/>
      <c r="X36" s="186" t="str">
        <f>IF(SUM(X28:X35)&gt;0,SUM(X28:X35)," ")</f>
        <v xml:space="preserve"> </v>
      </c>
      <c r="Y36" s="186" t="str">
        <f>IF(SUM(Y28:Y35)&gt;0,SUM(Y28:Y35)," ")</f>
        <v xml:space="preserve"> </v>
      </c>
      <c r="Z36" s="83"/>
      <c r="AA36" s="83"/>
      <c r="AB36" s="84"/>
      <c r="AC36" s="85"/>
      <c r="AD36" s="290"/>
      <c r="AE36" s="62"/>
    </row>
    <row r="37" spans="1:35" ht="15" customHeight="1" x14ac:dyDescent="0.3">
      <c r="A37" s="61"/>
      <c r="B37" s="1519">
        <v>2.5</v>
      </c>
      <c r="C37" s="1501" t="s">
        <v>14</v>
      </c>
      <c r="D37" s="1501"/>
      <c r="E37" s="1501"/>
      <c r="F37" s="1501"/>
      <c r="G37" s="1501"/>
      <c r="H37" s="1501"/>
      <c r="I37" s="1501"/>
      <c r="J37" s="1501"/>
      <c r="K37" s="1501"/>
      <c r="L37" s="1501"/>
      <c r="M37" s="1501"/>
      <c r="N37" s="1501"/>
      <c r="O37" s="1501"/>
      <c r="P37" s="1501"/>
      <c r="Q37" s="1501"/>
      <c r="R37" s="1501"/>
      <c r="S37" s="1501"/>
      <c r="T37" s="1501"/>
      <c r="U37" s="1501"/>
      <c r="V37" s="1501"/>
      <c r="W37" s="1501"/>
      <c r="X37" s="182"/>
      <c r="Y37" s="183"/>
      <c r="Z37" s="184" t="str">
        <f t="shared" si="1"/>
        <v xml:space="preserve"> </v>
      </c>
      <c r="AA37" s="185" t="str">
        <f t="shared" si="2"/>
        <v xml:space="preserve"> </v>
      </c>
      <c r="AB37" s="185" t="str">
        <f t="shared" si="3"/>
        <v xml:space="preserve"> </v>
      </c>
      <c r="AC37" s="197"/>
      <c r="AD37" s="220" t="str">
        <f t="shared" si="4"/>
        <v xml:space="preserve"> </v>
      </c>
      <c r="AE37" s="62"/>
      <c r="AG37" s="2">
        <f t="shared" ref="AG37:AG44" si="6">X37*0.2</f>
        <v>0</v>
      </c>
      <c r="AH37" s="2">
        <v>5</v>
      </c>
      <c r="AI37" s="2">
        <f t="shared" ref="AI37:AI44" si="7">IF(AH37&gt;AG37,AH37,AG37)</f>
        <v>5</v>
      </c>
    </row>
    <row r="38" spans="1:35" ht="15" customHeight="1" x14ac:dyDescent="0.3">
      <c r="A38" s="61"/>
      <c r="B38" s="1520"/>
      <c r="C38" s="1501" t="s">
        <v>14</v>
      </c>
      <c r="D38" s="1501"/>
      <c r="E38" s="1501"/>
      <c r="F38" s="1501"/>
      <c r="G38" s="1501"/>
      <c r="H38" s="1501"/>
      <c r="I38" s="1501"/>
      <c r="J38" s="1501"/>
      <c r="K38" s="1501"/>
      <c r="L38" s="1501"/>
      <c r="M38" s="1501"/>
      <c r="N38" s="1501"/>
      <c r="O38" s="1501"/>
      <c r="P38" s="1501"/>
      <c r="Q38" s="1501"/>
      <c r="R38" s="1501"/>
      <c r="S38" s="1501"/>
      <c r="T38" s="1501"/>
      <c r="U38" s="1501"/>
      <c r="V38" s="1501"/>
      <c r="W38" s="1501"/>
      <c r="X38" s="182"/>
      <c r="Y38" s="183"/>
      <c r="Z38" s="184" t="str">
        <f t="shared" si="1"/>
        <v xml:space="preserve"> </v>
      </c>
      <c r="AA38" s="185" t="str">
        <f t="shared" si="2"/>
        <v xml:space="preserve"> </v>
      </c>
      <c r="AB38" s="185" t="str">
        <f t="shared" si="3"/>
        <v xml:space="preserve"> </v>
      </c>
      <c r="AC38" s="197"/>
      <c r="AD38" s="220" t="str">
        <f t="shared" si="4"/>
        <v xml:space="preserve"> </v>
      </c>
      <c r="AE38" s="62"/>
      <c r="AG38" s="2">
        <f t="shared" si="6"/>
        <v>0</v>
      </c>
      <c r="AH38" s="2">
        <v>5</v>
      </c>
      <c r="AI38" s="2">
        <f t="shared" si="7"/>
        <v>5</v>
      </c>
    </row>
    <row r="39" spans="1:35" ht="15" customHeight="1" x14ac:dyDescent="0.3">
      <c r="A39" s="61"/>
      <c r="B39" s="1520"/>
      <c r="C39" s="1501" t="s">
        <v>14</v>
      </c>
      <c r="D39" s="1501"/>
      <c r="E39" s="1501"/>
      <c r="F39" s="1501"/>
      <c r="G39" s="1501"/>
      <c r="H39" s="1501"/>
      <c r="I39" s="1501"/>
      <c r="J39" s="1501"/>
      <c r="K39" s="1501"/>
      <c r="L39" s="1501"/>
      <c r="M39" s="1501"/>
      <c r="N39" s="1501"/>
      <c r="O39" s="1501"/>
      <c r="P39" s="1501"/>
      <c r="Q39" s="1501"/>
      <c r="R39" s="1501"/>
      <c r="S39" s="1501"/>
      <c r="T39" s="1501"/>
      <c r="U39" s="1501"/>
      <c r="V39" s="1501"/>
      <c r="W39" s="1501"/>
      <c r="X39" s="182"/>
      <c r="Y39" s="183"/>
      <c r="Z39" s="184" t="str">
        <f t="shared" si="1"/>
        <v xml:space="preserve"> </v>
      </c>
      <c r="AA39" s="185" t="str">
        <f t="shared" si="2"/>
        <v xml:space="preserve"> </v>
      </c>
      <c r="AB39" s="185" t="str">
        <f t="shared" si="3"/>
        <v xml:space="preserve"> </v>
      </c>
      <c r="AC39" s="197"/>
      <c r="AD39" s="220" t="str">
        <f t="shared" si="4"/>
        <v xml:space="preserve"> </v>
      </c>
      <c r="AE39" s="62"/>
      <c r="AG39" s="2">
        <f t="shared" si="6"/>
        <v>0</v>
      </c>
      <c r="AH39" s="2">
        <v>5</v>
      </c>
      <c r="AI39" s="2">
        <f t="shared" si="7"/>
        <v>5</v>
      </c>
    </row>
    <row r="40" spans="1:35" ht="15" customHeight="1" x14ac:dyDescent="0.3">
      <c r="A40" s="61"/>
      <c r="B40" s="1520"/>
      <c r="C40" s="1501" t="s">
        <v>14</v>
      </c>
      <c r="D40" s="1501"/>
      <c r="E40" s="1501"/>
      <c r="F40" s="1501"/>
      <c r="G40" s="1501"/>
      <c r="H40" s="1501"/>
      <c r="I40" s="1501"/>
      <c r="J40" s="1501"/>
      <c r="K40" s="1501"/>
      <c r="L40" s="1501"/>
      <c r="M40" s="1501"/>
      <c r="N40" s="1501"/>
      <c r="O40" s="1501"/>
      <c r="P40" s="1501"/>
      <c r="Q40" s="1501"/>
      <c r="R40" s="1501"/>
      <c r="S40" s="1501"/>
      <c r="T40" s="1501"/>
      <c r="U40" s="1501"/>
      <c r="V40" s="1501"/>
      <c r="W40" s="1501"/>
      <c r="X40" s="182"/>
      <c r="Y40" s="183"/>
      <c r="Z40" s="184" t="str">
        <f t="shared" si="1"/>
        <v xml:space="preserve"> </v>
      </c>
      <c r="AA40" s="185" t="str">
        <f t="shared" si="2"/>
        <v xml:space="preserve"> </v>
      </c>
      <c r="AB40" s="185" t="str">
        <f t="shared" si="3"/>
        <v xml:space="preserve"> </v>
      </c>
      <c r="AC40" s="197"/>
      <c r="AD40" s="220" t="str">
        <f t="shared" si="4"/>
        <v xml:space="preserve"> </v>
      </c>
      <c r="AE40" s="62"/>
      <c r="AG40" s="2">
        <f t="shared" si="6"/>
        <v>0</v>
      </c>
      <c r="AH40" s="2">
        <v>5</v>
      </c>
      <c r="AI40" s="2">
        <f t="shared" si="7"/>
        <v>5</v>
      </c>
    </row>
    <row r="41" spans="1:35" ht="15" customHeight="1" x14ac:dyDescent="0.3">
      <c r="A41" s="61"/>
      <c r="B41" s="1520"/>
      <c r="C41" s="1501" t="s">
        <v>14</v>
      </c>
      <c r="D41" s="1501"/>
      <c r="E41" s="1501"/>
      <c r="F41" s="1501"/>
      <c r="G41" s="1501"/>
      <c r="H41" s="1501"/>
      <c r="I41" s="1501"/>
      <c r="J41" s="1501"/>
      <c r="K41" s="1501"/>
      <c r="L41" s="1501"/>
      <c r="M41" s="1501"/>
      <c r="N41" s="1501"/>
      <c r="O41" s="1501"/>
      <c r="P41" s="1501"/>
      <c r="Q41" s="1501"/>
      <c r="R41" s="1501"/>
      <c r="S41" s="1501"/>
      <c r="T41" s="1501"/>
      <c r="U41" s="1501"/>
      <c r="V41" s="1501"/>
      <c r="W41" s="1501"/>
      <c r="X41" s="182"/>
      <c r="Y41" s="183"/>
      <c r="Z41" s="184" t="str">
        <f t="shared" si="1"/>
        <v xml:space="preserve"> </v>
      </c>
      <c r="AA41" s="185" t="str">
        <f t="shared" si="2"/>
        <v xml:space="preserve"> </v>
      </c>
      <c r="AB41" s="185" t="str">
        <f t="shared" si="3"/>
        <v xml:space="preserve"> </v>
      </c>
      <c r="AC41" s="197"/>
      <c r="AD41" s="220" t="str">
        <f t="shared" si="4"/>
        <v xml:space="preserve"> </v>
      </c>
      <c r="AE41" s="62"/>
      <c r="AG41" s="2">
        <f t="shared" si="6"/>
        <v>0</v>
      </c>
      <c r="AH41" s="2">
        <v>5</v>
      </c>
      <c r="AI41" s="2">
        <f t="shared" si="7"/>
        <v>5</v>
      </c>
    </row>
    <row r="42" spans="1:35" ht="15" customHeight="1" x14ac:dyDescent="0.3">
      <c r="A42" s="61"/>
      <c r="B42" s="1520"/>
      <c r="C42" s="1501" t="s">
        <v>14</v>
      </c>
      <c r="D42" s="1501"/>
      <c r="E42" s="1501"/>
      <c r="F42" s="1501"/>
      <c r="G42" s="1501"/>
      <c r="H42" s="1501"/>
      <c r="I42" s="1501"/>
      <c r="J42" s="1501"/>
      <c r="K42" s="1501"/>
      <c r="L42" s="1501"/>
      <c r="M42" s="1501"/>
      <c r="N42" s="1501"/>
      <c r="O42" s="1501"/>
      <c r="P42" s="1501"/>
      <c r="Q42" s="1501"/>
      <c r="R42" s="1501"/>
      <c r="S42" s="1501"/>
      <c r="T42" s="1501"/>
      <c r="U42" s="1501"/>
      <c r="V42" s="1501"/>
      <c r="W42" s="1501"/>
      <c r="X42" s="182"/>
      <c r="Y42" s="183"/>
      <c r="Z42" s="184" t="str">
        <f t="shared" si="1"/>
        <v xml:space="preserve"> </v>
      </c>
      <c r="AA42" s="185" t="str">
        <f t="shared" si="2"/>
        <v xml:space="preserve"> </v>
      </c>
      <c r="AB42" s="185" t="str">
        <f t="shared" si="3"/>
        <v xml:space="preserve"> </v>
      </c>
      <c r="AC42" s="197"/>
      <c r="AD42" s="220" t="str">
        <f t="shared" si="4"/>
        <v xml:space="preserve"> </v>
      </c>
      <c r="AE42" s="62"/>
      <c r="AG42" s="2">
        <f t="shared" si="6"/>
        <v>0</v>
      </c>
      <c r="AH42" s="2">
        <v>5</v>
      </c>
      <c r="AI42" s="2">
        <f t="shared" si="7"/>
        <v>5</v>
      </c>
    </row>
    <row r="43" spans="1:35" ht="15.9" customHeight="1" x14ac:dyDescent="0.3">
      <c r="A43" s="61"/>
      <c r="B43" s="1520"/>
      <c r="C43" s="1501" t="s">
        <v>14</v>
      </c>
      <c r="D43" s="1501"/>
      <c r="E43" s="1501"/>
      <c r="F43" s="1501"/>
      <c r="G43" s="1501"/>
      <c r="H43" s="1501"/>
      <c r="I43" s="1501"/>
      <c r="J43" s="1501"/>
      <c r="K43" s="1501"/>
      <c r="L43" s="1501"/>
      <c r="M43" s="1501"/>
      <c r="N43" s="1501"/>
      <c r="O43" s="1501"/>
      <c r="P43" s="1501"/>
      <c r="Q43" s="1501"/>
      <c r="R43" s="1501"/>
      <c r="S43" s="1501"/>
      <c r="T43" s="1501"/>
      <c r="U43" s="1501"/>
      <c r="V43" s="1501"/>
      <c r="W43" s="1501"/>
      <c r="X43" s="182"/>
      <c r="Y43" s="183"/>
      <c r="Z43" s="184" t="str">
        <f t="shared" si="1"/>
        <v xml:space="preserve"> </v>
      </c>
      <c r="AA43" s="185" t="str">
        <f t="shared" si="2"/>
        <v xml:space="preserve"> </v>
      </c>
      <c r="AB43" s="185" t="str">
        <f t="shared" si="3"/>
        <v xml:space="preserve"> </v>
      </c>
      <c r="AC43" s="197"/>
      <c r="AD43" s="220" t="str">
        <f t="shared" si="4"/>
        <v xml:space="preserve"> </v>
      </c>
      <c r="AE43" s="62"/>
      <c r="AG43" s="2">
        <f t="shared" si="6"/>
        <v>0</v>
      </c>
      <c r="AH43" s="2">
        <v>5</v>
      </c>
      <c r="AI43" s="2">
        <f t="shared" si="7"/>
        <v>5</v>
      </c>
    </row>
    <row r="44" spans="1:35" ht="15.9" customHeight="1" x14ac:dyDescent="0.3">
      <c r="A44" s="61"/>
      <c r="B44" s="1520"/>
      <c r="C44" s="1501" t="s">
        <v>14</v>
      </c>
      <c r="D44" s="1501"/>
      <c r="E44" s="1501"/>
      <c r="F44" s="1501"/>
      <c r="G44" s="1501"/>
      <c r="H44" s="1501"/>
      <c r="I44" s="1501"/>
      <c r="J44" s="1501"/>
      <c r="K44" s="1501"/>
      <c r="L44" s="1501"/>
      <c r="M44" s="1501"/>
      <c r="N44" s="1501"/>
      <c r="O44" s="1501"/>
      <c r="P44" s="1501"/>
      <c r="Q44" s="1501"/>
      <c r="R44" s="1501"/>
      <c r="S44" s="1501"/>
      <c r="T44" s="1501"/>
      <c r="U44" s="1501"/>
      <c r="V44" s="1501"/>
      <c r="W44" s="1501"/>
      <c r="X44" s="182"/>
      <c r="Y44" s="183"/>
      <c r="Z44" s="184" t="str">
        <f t="shared" si="1"/>
        <v xml:space="preserve"> </v>
      </c>
      <c r="AA44" s="185" t="str">
        <f t="shared" si="2"/>
        <v xml:space="preserve"> </v>
      </c>
      <c r="AB44" s="185" t="str">
        <f t="shared" si="3"/>
        <v xml:space="preserve"> </v>
      </c>
      <c r="AC44" s="197"/>
      <c r="AD44" s="220" t="str">
        <f t="shared" si="4"/>
        <v xml:space="preserve"> </v>
      </c>
      <c r="AE44" s="62"/>
      <c r="AG44" s="2">
        <f t="shared" si="6"/>
        <v>0</v>
      </c>
      <c r="AH44" s="2">
        <v>5</v>
      </c>
      <c r="AI44" s="2">
        <f t="shared" si="7"/>
        <v>5</v>
      </c>
    </row>
    <row r="45" spans="1:35" ht="15.9" customHeight="1" x14ac:dyDescent="0.3">
      <c r="A45" s="61"/>
      <c r="B45" s="1521"/>
      <c r="C45" s="1522" t="s">
        <v>13</v>
      </c>
      <c r="D45" s="1522"/>
      <c r="E45" s="1522"/>
      <c r="F45" s="1522"/>
      <c r="G45" s="1522"/>
      <c r="H45" s="1522"/>
      <c r="I45" s="1522"/>
      <c r="J45" s="1522"/>
      <c r="K45" s="1522"/>
      <c r="L45" s="1522"/>
      <c r="M45" s="1522"/>
      <c r="N45" s="1522"/>
      <c r="O45" s="1522"/>
      <c r="P45" s="1522"/>
      <c r="Q45" s="1522"/>
      <c r="R45" s="1522"/>
      <c r="S45" s="1522"/>
      <c r="T45" s="1522"/>
      <c r="U45" s="1522"/>
      <c r="V45" s="1522"/>
      <c r="W45" s="1522"/>
      <c r="X45" s="186" t="str">
        <f>IF(SUM(X37:X44)&gt;0,SUM(X37:X44)," ")</f>
        <v xml:space="preserve"> </v>
      </c>
      <c r="Y45" s="186" t="str">
        <f>IF(SUM(Y37:Y44)&gt;0,SUM(Y37:Y44)," ")</f>
        <v xml:space="preserve"> </v>
      </c>
      <c r="Z45" s="86"/>
      <c r="AA45" s="86"/>
      <c r="AB45" s="87"/>
      <c r="AC45" s="88"/>
      <c r="AD45" s="291"/>
      <c r="AE45" s="62"/>
    </row>
    <row r="46" spans="1:35" ht="15" customHeight="1" x14ac:dyDescent="0.3">
      <c r="A46" s="61"/>
      <c r="B46" s="114">
        <v>2.6</v>
      </c>
      <c r="C46" s="1501" t="s">
        <v>18</v>
      </c>
      <c r="D46" s="1501"/>
      <c r="E46" s="1501"/>
      <c r="F46" s="1501"/>
      <c r="G46" s="1501"/>
      <c r="H46" s="1501"/>
      <c r="I46" s="1501"/>
      <c r="J46" s="1501"/>
      <c r="K46" s="1501"/>
      <c r="L46" s="1501"/>
      <c r="M46" s="1501"/>
      <c r="N46" s="1501"/>
      <c r="O46" s="1501"/>
      <c r="P46" s="1501"/>
      <c r="Q46" s="1501"/>
      <c r="R46" s="1501"/>
      <c r="S46" s="1501"/>
      <c r="T46" s="1501"/>
      <c r="U46" s="1501"/>
      <c r="V46" s="1501"/>
      <c r="W46" s="1501"/>
      <c r="X46" s="182"/>
      <c r="Y46" s="183"/>
      <c r="Z46" s="89"/>
      <c r="AA46" s="89"/>
      <c r="AB46" s="188" t="str">
        <f>IF(OR(ISBLANK(X46),ISBLANK(Y46))," ", IF(Y46&lt;X46,"NO",IF(Y46&gt;1.2*X46,"NO","YES")))</f>
        <v xml:space="preserve"> </v>
      </c>
      <c r="AC46" s="90"/>
      <c r="AD46" s="288"/>
      <c r="AE46" s="62"/>
    </row>
    <row r="47" spans="1:35" ht="15" customHeight="1" x14ac:dyDescent="0.3">
      <c r="A47" s="61"/>
      <c r="B47" s="114">
        <v>2.7</v>
      </c>
      <c r="C47" s="1501" t="s">
        <v>19</v>
      </c>
      <c r="D47" s="1501"/>
      <c r="E47" s="1501"/>
      <c r="F47" s="1501"/>
      <c r="G47" s="1501"/>
      <c r="H47" s="1501"/>
      <c r="I47" s="1501"/>
      <c r="J47" s="1501"/>
      <c r="K47" s="1501"/>
      <c r="L47" s="1501"/>
      <c r="M47" s="1501"/>
      <c r="N47" s="1501"/>
      <c r="O47" s="1501"/>
      <c r="P47" s="1501"/>
      <c r="Q47" s="1501"/>
      <c r="R47" s="1501"/>
      <c r="S47" s="1501"/>
      <c r="T47" s="1501"/>
      <c r="U47" s="1501"/>
      <c r="V47" s="1501"/>
      <c r="W47" s="1501"/>
      <c r="X47" s="182"/>
      <c r="Y47" s="183"/>
      <c r="Z47" s="89"/>
      <c r="AA47" s="89"/>
      <c r="AB47" s="188" t="str">
        <f>IF(OR(ISBLANK(X47),ISBLANK(Y47))," ", IF(Y47&lt;X47,"NO",IF(Y47&gt;1.2*X47,"NO","YES")))</f>
        <v xml:space="preserve"> </v>
      </c>
      <c r="AC47" s="90"/>
      <c r="AD47" s="288"/>
      <c r="AE47" s="62"/>
    </row>
    <row r="48" spans="1:35" ht="15.9" customHeight="1" x14ac:dyDescent="0.3">
      <c r="A48" s="61"/>
      <c r="B48" s="114">
        <v>2.8</v>
      </c>
      <c r="C48" s="1501" t="s">
        <v>440</v>
      </c>
      <c r="D48" s="1501"/>
      <c r="E48" s="1501"/>
      <c r="F48" s="1501"/>
      <c r="G48" s="1501"/>
      <c r="H48" s="1501"/>
      <c r="I48" s="1501"/>
      <c r="J48" s="1501"/>
      <c r="K48" s="1501"/>
      <c r="L48" s="1501"/>
      <c r="M48" s="1501"/>
      <c r="N48" s="1501"/>
      <c r="O48" s="1501"/>
      <c r="P48" s="1501"/>
      <c r="Q48" s="1501"/>
      <c r="R48" s="1501"/>
      <c r="S48" s="1501"/>
      <c r="T48" s="1501"/>
      <c r="U48" s="1501"/>
      <c r="V48" s="1501"/>
      <c r="W48" s="1501"/>
      <c r="X48" s="122"/>
      <c r="Y48" s="122"/>
      <c r="Z48" s="198" t="str">
        <f>IF(OR(ISBLANK(Y46),ISBLANK(Y47))," ",(Y46/Y47-1))</f>
        <v xml:space="preserve"> </v>
      </c>
      <c r="AA48" s="89"/>
      <c r="AB48" s="189" t="str">
        <f>IF(OR(ISBLANK(Y47),ISBLANK(Y46))," ",IF(Z48&lt;-10.499%,"NO",IF(Z48&gt;10.499%,"NO","YES")))</f>
        <v xml:space="preserve"> </v>
      </c>
      <c r="AC48" s="86"/>
      <c r="AD48" s="289"/>
      <c r="AE48" s="62"/>
    </row>
    <row r="49" spans="1:35" ht="15" customHeight="1" thickBot="1" x14ac:dyDescent="0.35">
      <c r="A49" s="61"/>
      <c r="B49" s="123">
        <v>2.9</v>
      </c>
      <c r="C49" s="1501" t="s">
        <v>395</v>
      </c>
      <c r="D49" s="1501"/>
      <c r="E49" s="1501"/>
      <c r="F49" s="1501"/>
      <c r="G49" s="1501"/>
      <c r="H49" s="1501"/>
      <c r="I49" s="1501"/>
      <c r="J49" s="1501"/>
      <c r="K49" s="1501"/>
      <c r="L49" s="1501"/>
      <c r="M49" s="1501"/>
      <c r="N49" s="1501"/>
      <c r="O49" s="1501"/>
      <c r="P49" s="1501"/>
      <c r="Q49" s="1501"/>
      <c r="R49" s="1501"/>
      <c r="S49" s="1501"/>
      <c r="T49" s="1501"/>
      <c r="U49" s="1501"/>
      <c r="V49" s="1501"/>
      <c r="W49" s="1501"/>
      <c r="X49" s="91"/>
      <c r="Y49" s="183"/>
      <c r="Z49" s="90"/>
      <c r="AA49" s="90"/>
      <c r="AB49" s="87"/>
      <c r="AC49" s="90"/>
      <c r="AD49" s="288"/>
      <c r="AE49" s="69"/>
    </row>
    <row r="50" spans="1:35" ht="15" customHeight="1" x14ac:dyDescent="0.3">
      <c r="A50" s="61"/>
      <c r="B50" s="123" t="s">
        <v>32</v>
      </c>
      <c r="C50" s="1501" t="s">
        <v>20</v>
      </c>
      <c r="D50" s="1501"/>
      <c r="E50" s="1501"/>
      <c r="F50" s="1501"/>
      <c r="G50" s="1501"/>
      <c r="H50" s="1501"/>
      <c r="I50" s="1501"/>
      <c r="J50" s="1501"/>
      <c r="K50" s="1501"/>
      <c r="L50" s="1501"/>
      <c r="M50" s="1501"/>
      <c r="N50" s="1501"/>
      <c r="O50" s="1501"/>
      <c r="P50" s="1501"/>
      <c r="Q50" s="1501"/>
      <c r="R50" s="1501"/>
      <c r="S50" s="1501"/>
      <c r="T50" s="1501"/>
      <c r="U50" s="1501"/>
      <c r="V50" s="1501"/>
      <c r="W50" s="1501"/>
      <c r="X50" s="91"/>
      <c r="Y50" s="190" t="str">
        <f>IF(OR(ISBLANK(Y46),ISBLANK(Y49))," ",(Y49/(Y46)))</f>
        <v xml:space="preserve"> </v>
      </c>
      <c r="Z50" s="90"/>
      <c r="AA50" s="90"/>
      <c r="AB50" s="87"/>
      <c r="AC50" s="90"/>
      <c r="AD50" s="288"/>
      <c r="AE50" s="62"/>
    </row>
    <row r="51" spans="1:35" ht="15" customHeight="1" x14ac:dyDescent="0.3">
      <c r="A51" s="61"/>
      <c r="B51" s="124"/>
      <c r="C51" s="125"/>
      <c r="D51" s="56"/>
      <c r="E51" s="56"/>
      <c r="F51" s="56"/>
      <c r="G51" s="56"/>
      <c r="H51" s="56"/>
      <c r="I51" s="56"/>
      <c r="J51" s="56"/>
      <c r="K51" s="56"/>
      <c r="L51" s="56"/>
      <c r="M51" s="56"/>
      <c r="N51" s="56"/>
      <c r="O51" s="126"/>
      <c r="P51" s="126"/>
      <c r="Q51" s="126"/>
      <c r="R51" s="126"/>
      <c r="S51" s="126"/>
      <c r="T51" s="126"/>
      <c r="U51" s="126"/>
      <c r="V51" s="126"/>
      <c r="W51" s="126"/>
      <c r="X51" s="127"/>
      <c r="Y51" s="118"/>
      <c r="Z51" s="128"/>
      <c r="AA51" s="128"/>
      <c r="AB51" s="121"/>
      <c r="AC51" s="118"/>
      <c r="AD51" s="118"/>
      <c r="AE51" s="62"/>
      <c r="AG51" s="5"/>
      <c r="AH51" s="5"/>
      <c r="AI51" s="5"/>
    </row>
    <row r="52" spans="1:35" s="5" customFormat="1" ht="27" customHeight="1" x14ac:dyDescent="0.3">
      <c r="A52" s="61"/>
      <c r="B52" s="78">
        <v>3</v>
      </c>
      <c r="C52" s="1542" t="s">
        <v>37</v>
      </c>
      <c r="D52" s="1543"/>
      <c r="E52" s="1543"/>
      <c r="F52" s="1543"/>
      <c r="G52" s="1543"/>
      <c r="H52" s="1543"/>
      <c r="I52" s="1543"/>
      <c r="J52" s="1543"/>
      <c r="K52" s="1543"/>
      <c r="L52" s="1543"/>
      <c r="M52" s="1543"/>
      <c r="N52" s="1543"/>
      <c r="O52" s="1543"/>
      <c r="P52" s="1543"/>
      <c r="Q52" s="1543"/>
      <c r="R52" s="1543"/>
      <c r="S52" s="1543"/>
      <c r="T52" s="1543"/>
      <c r="U52" s="1543"/>
      <c r="V52" s="1543"/>
      <c r="W52" s="1543"/>
      <c r="X52" s="1543"/>
      <c r="Y52" s="1543"/>
      <c r="Z52" s="1543"/>
      <c r="AA52" s="1543"/>
      <c r="AB52" s="72" t="s">
        <v>39</v>
      </c>
      <c r="AC52" s="73" t="s">
        <v>40</v>
      </c>
      <c r="AD52" s="132"/>
      <c r="AE52" s="62"/>
      <c r="AG52" s="2"/>
      <c r="AH52" s="2"/>
      <c r="AI52" s="2"/>
    </row>
    <row r="53" spans="1:35" ht="15.75" customHeight="1" x14ac:dyDescent="0.3">
      <c r="A53" s="61"/>
      <c r="B53" s="75">
        <v>3.1</v>
      </c>
      <c r="C53" s="1502" t="s">
        <v>44</v>
      </c>
      <c r="D53" s="1502"/>
      <c r="E53" s="1502"/>
      <c r="F53" s="1502"/>
      <c r="G53" s="1502"/>
      <c r="H53" s="1502"/>
      <c r="I53" s="1502"/>
      <c r="J53" s="1502"/>
      <c r="K53" s="1502"/>
      <c r="L53" s="1502"/>
      <c r="M53" s="1502"/>
      <c r="N53" s="1502"/>
      <c r="O53" s="1502"/>
      <c r="P53" s="1502"/>
      <c r="Q53" s="1502"/>
      <c r="R53" s="1502"/>
      <c r="S53" s="1502"/>
      <c r="T53" s="1502"/>
      <c r="U53" s="1502"/>
      <c r="V53" s="1502"/>
      <c r="W53" s="1502"/>
      <c r="X53" s="1502"/>
      <c r="Y53" s="1502"/>
      <c r="Z53" s="1502"/>
      <c r="AA53" s="1502"/>
      <c r="AB53" s="92"/>
      <c r="AC53" s="92"/>
      <c r="AD53" s="292"/>
      <c r="AE53" s="62"/>
    </row>
    <row r="54" spans="1:35" ht="17.100000000000001" customHeight="1" x14ac:dyDescent="0.3">
      <c r="A54" s="61"/>
      <c r="B54" s="75">
        <v>3.2</v>
      </c>
      <c r="C54" s="1502" t="s">
        <v>43</v>
      </c>
      <c r="D54" s="1502"/>
      <c r="E54" s="1502"/>
      <c r="F54" s="1502"/>
      <c r="G54" s="1502"/>
      <c r="H54" s="1502"/>
      <c r="I54" s="1502"/>
      <c r="J54" s="1502"/>
      <c r="K54" s="1502"/>
      <c r="L54" s="1502"/>
      <c r="M54" s="1502"/>
      <c r="N54" s="1502"/>
      <c r="O54" s="1502"/>
      <c r="P54" s="1502"/>
      <c r="Q54" s="1502"/>
      <c r="R54" s="1502"/>
      <c r="S54" s="1502"/>
      <c r="T54" s="1502"/>
      <c r="U54" s="1502"/>
      <c r="V54" s="1502"/>
      <c r="W54" s="1502"/>
      <c r="X54" s="1502"/>
      <c r="Y54" s="1502"/>
      <c r="Z54" s="1502"/>
      <c r="AA54" s="1502"/>
      <c r="AB54" s="92"/>
      <c r="AC54" s="92"/>
      <c r="AD54" s="292"/>
      <c r="AE54" s="62"/>
    </row>
    <row r="55" spans="1:35" ht="15" customHeight="1" x14ac:dyDescent="0.3">
      <c r="A55" s="61"/>
      <c r="B55" s="1516">
        <v>3.3</v>
      </c>
      <c r="C55" s="1502" t="s">
        <v>45</v>
      </c>
      <c r="D55" s="1502"/>
      <c r="E55" s="1502"/>
      <c r="F55" s="1502"/>
      <c r="G55" s="1502"/>
      <c r="H55" s="1502"/>
      <c r="I55" s="1502"/>
      <c r="J55" s="1502"/>
      <c r="K55" s="1502"/>
      <c r="L55" s="1502"/>
      <c r="M55" s="1502"/>
      <c r="N55" s="1502"/>
      <c r="O55" s="1502"/>
      <c r="P55" s="1502"/>
      <c r="Q55" s="1502"/>
      <c r="R55" s="1502"/>
      <c r="S55" s="1502"/>
      <c r="T55" s="1502"/>
      <c r="U55" s="1502"/>
      <c r="V55" s="1502"/>
      <c r="W55" s="1502"/>
      <c r="X55" s="1502"/>
      <c r="Y55" s="1502"/>
      <c r="Z55" s="1502"/>
      <c r="AA55" s="1502"/>
      <c r="AB55" s="92"/>
      <c r="AC55" s="92"/>
      <c r="AD55" s="292"/>
      <c r="AE55" s="62"/>
    </row>
    <row r="56" spans="1:35" ht="15" customHeight="1" x14ac:dyDescent="0.3">
      <c r="A56" s="61"/>
      <c r="B56" s="1517"/>
      <c r="C56" s="93" t="s">
        <v>33</v>
      </c>
      <c r="D56" s="1544" t="s">
        <v>54</v>
      </c>
      <c r="E56" s="1544"/>
      <c r="F56" s="1544"/>
      <c r="G56" s="1544"/>
      <c r="H56" s="1544"/>
      <c r="I56" s="1544"/>
      <c r="J56" s="1544"/>
      <c r="K56" s="1544"/>
      <c r="L56" s="1544"/>
      <c r="M56" s="1544"/>
      <c r="N56" s="1544"/>
      <c r="O56" s="1544"/>
      <c r="P56" s="1544"/>
      <c r="Q56" s="1544"/>
      <c r="R56" s="1544"/>
      <c r="S56" s="1544"/>
      <c r="T56" s="1544"/>
      <c r="U56" s="1544"/>
      <c r="V56" s="1544"/>
      <c r="W56" s="1544"/>
      <c r="X56" s="1544"/>
      <c r="Y56" s="1544"/>
      <c r="Z56" s="1544"/>
      <c r="AA56" s="1544"/>
      <c r="AB56" s="92"/>
      <c r="AC56" s="92"/>
      <c r="AD56" s="292"/>
      <c r="AE56" s="62"/>
    </row>
    <row r="57" spans="1:35" ht="15" customHeight="1" x14ac:dyDescent="0.3">
      <c r="A57" s="61"/>
      <c r="B57" s="1517"/>
      <c r="C57" s="93" t="s">
        <v>34</v>
      </c>
      <c r="D57" s="1544" t="s">
        <v>55</v>
      </c>
      <c r="E57" s="1544"/>
      <c r="F57" s="1544"/>
      <c r="G57" s="1544"/>
      <c r="H57" s="1544"/>
      <c r="I57" s="1544"/>
      <c r="J57" s="1544"/>
      <c r="K57" s="1544"/>
      <c r="L57" s="1544"/>
      <c r="M57" s="1544"/>
      <c r="N57" s="1544"/>
      <c r="O57" s="1544"/>
      <c r="P57" s="1544"/>
      <c r="Q57" s="1544"/>
      <c r="R57" s="1544"/>
      <c r="S57" s="1544"/>
      <c r="T57" s="1544"/>
      <c r="U57" s="1544"/>
      <c r="V57" s="1544"/>
      <c r="W57" s="1544"/>
      <c r="X57" s="1544"/>
      <c r="Y57" s="1544"/>
      <c r="Z57" s="1544"/>
      <c r="AA57" s="1544"/>
      <c r="AB57" s="92"/>
      <c r="AC57" s="92"/>
      <c r="AD57" s="292"/>
      <c r="AE57" s="62"/>
    </row>
    <row r="58" spans="1:35" ht="15" customHeight="1" x14ac:dyDescent="0.3">
      <c r="A58" s="61"/>
      <c r="B58" s="1518"/>
      <c r="C58" s="75" t="s">
        <v>35</v>
      </c>
      <c r="D58" s="1544" t="s">
        <v>56</v>
      </c>
      <c r="E58" s="1544"/>
      <c r="F58" s="1544"/>
      <c r="G58" s="1544"/>
      <c r="H58" s="1544"/>
      <c r="I58" s="1544"/>
      <c r="J58" s="1544"/>
      <c r="K58" s="1544"/>
      <c r="L58" s="1544"/>
      <c r="M58" s="1544"/>
      <c r="N58" s="1544"/>
      <c r="O58" s="1544"/>
      <c r="P58" s="1544"/>
      <c r="Q58" s="1544"/>
      <c r="R58" s="1544"/>
      <c r="S58" s="1544"/>
      <c r="T58" s="1544"/>
      <c r="U58" s="1544"/>
      <c r="V58" s="1544"/>
      <c r="W58" s="1544"/>
      <c r="X58" s="1544"/>
      <c r="Y58" s="1544"/>
      <c r="Z58" s="1544"/>
      <c r="AA58" s="1544"/>
      <c r="AB58" s="92"/>
      <c r="AC58" s="92"/>
      <c r="AD58" s="292"/>
      <c r="AE58" s="62"/>
    </row>
    <row r="59" spans="1:35" ht="14.1" customHeight="1" x14ac:dyDescent="0.3">
      <c r="A59" s="61"/>
      <c r="B59" s="129"/>
      <c r="C59" s="130"/>
      <c r="D59" s="16"/>
      <c r="E59" s="16"/>
      <c r="F59" s="16"/>
      <c r="G59" s="16"/>
      <c r="H59" s="16"/>
      <c r="I59" s="16"/>
      <c r="J59" s="16"/>
      <c r="K59" s="16"/>
      <c r="L59" s="16"/>
      <c r="M59" s="16"/>
      <c r="N59" s="16"/>
      <c r="O59" s="131"/>
      <c r="P59" s="131"/>
      <c r="Q59" s="131"/>
      <c r="R59" s="131"/>
      <c r="S59" s="131"/>
      <c r="T59" s="131"/>
      <c r="U59" s="131"/>
      <c r="V59" s="131"/>
      <c r="W59" s="131"/>
      <c r="X59" s="132"/>
      <c r="Y59" s="132"/>
      <c r="Z59" s="133"/>
      <c r="AA59" s="133"/>
      <c r="AB59" s="134"/>
      <c r="AC59" s="132"/>
      <c r="AD59" s="132"/>
      <c r="AE59" s="62"/>
    </row>
    <row r="60" spans="1:35" ht="31.2" x14ac:dyDescent="0.3">
      <c r="A60" s="61"/>
      <c r="B60" s="103">
        <v>4</v>
      </c>
      <c r="C60" s="1523" t="s">
        <v>407</v>
      </c>
      <c r="D60" s="1523"/>
      <c r="E60" s="1523"/>
      <c r="F60" s="1523"/>
      <c r="G60" s="1523"/>
      <c r="H60" s="1523"/>
      <c r="I60" s="1523"/>
      <c r="J60" s="1523"/>
      <c r="K60" s="1523"/>
      <c r="L60" s="1523"/>
      <c r="M60" s="1523"/>
      <c r="N60" s="1523"/>
      <c r="O60" s="1523"/>
      <c r="P60" s="1523"/>
      <c r="Q60" s="1523"/>
      <c r="R60" s="1523"/>
      <c r="S60" s="1523"/>
      <c r="T60" s="1523"/>
      <c r="U60" s="1523"/>
      <c r="V60" s="1523"/>
      <c r="W60" s="1523"/>
      <c r="X60" s="1523"/>
      <c r="Y60" s="1523"/>
      <c r="Z60" s="1523"/>
      <c r="AA60" s="1523"/>
      <c r="AB60" s="73" t="s">
        <v>39</v>
      </c>
      <c r="AC60" s="73" t="s">
        <v>40</v>
      </c>
      <c r="AD60" s="132"/>
      <c r="AE60" s="62"/>
    </row>
    <row r="61" spans="1:35" ht="33.75" customHeight="1" x14ac:dyDescent="0.3">
      <c r="A61" s="61"/>
      <c r="B61" s="114">
        <v>4.0999999999999996</v>
      </c>
      <c r="C61" s="1540" t="s">
        <v>1926</v>
      </c>
      <c r="D61" s="1541"/>
      <c r="E61" s="1541"/>
      <c r="F61" s="1541"/>
      <c r="G61" s="1541"/>
      <c r="H61" s="1541"/>
      <c r="I61" s="1541"/>
      <c r="J61" s="1541"/>
      <c r="K61" s="1541"/>
      <c r="L61" s="1541"/>
      <c r="M61" s="1541"/>
      <c r="N61" s="1541"/>
      <c r="O61" s="1541"/>
      <c r="P61" s="1541"/>
      <c r="Q61" s="1541"/>
      <c r="R61" s="1541"/>
      <c r="S61" s="1541"/>
      <c r="T61" s="1541"/>
      <c r="U61" s="1541"/>
      <c r="V61" s="1541"/>
      <c r="W61" s="1541"/>
      <c r="X61" s="1541"/>
      <c r="Y61" s="1541"/>
      <c r="Z61" s="1541"/>
      <c r="AA61" s="1541"/>
      <c r="AB61" s="95"/>
      <c r="AC61" s="96"/>
      <c r="AD61" s="132"/>
      <c r="AE61" s="62"/>
    </row>
    <row r="62" spans="1:35" x14ac:dyDescent="0.3">
      <c r="A62" s="61"/>
      <c r="B62" s="1545">
        <v>4.2</v>
      </c>
      <c r="C62" s="1502" t="s">
        <v>1927</v>
      </c>
      <c r="D62" s="1502"/>
      <c r="E62" s="1502"/>
      <c r="F62" s="1502"/>
      <c r="G62" s="1502"/>
      <c r="H62" s="1502"/>
      <c r="I62" s="1502"/>
      <c r="J62" s="1502"/>
      <c r="K62" s="1502"/>
      <c r="L62" s="1502"/>
      <c r="M62" s="1502"/>
      <c r="N62" s="1502"/>
      <c r="O62" s="1502"/>
      <c r="P62" s="1502"/>
      <c r="Q62" s="1502"/>
      <c r="R62" s="1502"/>
      <c r="S62" s="1502"/>
      <c r="T62" s="1502"/>
      <c r="U62" s="1502"/>
      <c r="V62" s="1502"/>
      <c r="W62" s="1502"/>
      <c r="X62" s="1502"/>
      <c r="Y62" s="1502"/>
      <c r="Z62" s="1502"/>
      <c r="AA62" s="1531"/>
      <c r="AB62" s="95"/>
      <c r="AC62" s="96"/>
      <c r="AD62" s="132"/>
      <c r="AE62" s="62"/>
    </row>
    <row r="63" spans="1:35" x14ac:dyDescent="0.3">
      <c r="A63" s="61"/>
      <c r="B63" s="1546"/>
      <c r="C63" s="1532" t="s">
        <v>409</v>
      </c>
      <c r="D63" s="1532"/>
      <c r="E63" s="1532"/>
      <c r="F63" s="1532"/>
      <c r="G63" s="1532"/>
      <c r="H63" s="1532"/>
      <c r="I63" s="1533"/>
      <c r="J63" s="1533"/>
      <c r="K63" s="1533"/>
      <c r="L63" s="1533"/>
      <c r="M63" s="1532" t="s">
        <v>410</v>
      </c>
      <c r="N63" s="1532"/>
      <c r="O63" s="1532"/>
      <c r="P63" s="1532"/>
      <c r="Q63" s="1525"/>
      <c r="R63" s="1525"/>
      <c r="S63" s="1525"/>
      <c r="T63" s="1525"/>
      <c r="U63" s="1534" t="s">
        <v>396</v>
      </c>
      <c r="V63" s="1534"/>
      <c r="W63" s="1525"/>
      <c r="X63" s="1525"/>
      <c r="Y63" s="94" t="s">
        <v>405</v>
      </c>
      <c r="Z63" s="1535"/>
      <c r="AA63" s="1536"/>
      <c r="AB63" s="95"/>
      <c r="AC63" s="96"/>
      <c r="AD63" s="132"/>
      <c r="AE63" s="62"/>
    </row>
    <row r="64" spans="1:35" x14ac:dyDescent="0.3">
      <c r="A64" s="61"/>
      <c r="B64" s="1546"/>
      <c r="C64" s="1532" t="s">
        <v>409</v>
      </c>
      <c r="D64" s="1532"/>
      <c r="E64" s="1532"/>
      <c r="F64" s="1532"/>
      <c r="G64" s="1532"/>
      <c r="H64" s="1532"/>
      <c r="I64" s="1533"/>
      <c r="J64" s="1533"/>
      <c r="K64" s="1533"/>
      <c r="L64" s="1533"/>
      <c r="M64" s="1532" t="s">
        <v>410</v>
      </c>
      <c r="N64" s="1532"/>
      <c r="O64" s="1532"/>
      <c r="P64" s="1532"/>
      <c r="Q64" s="1525"/>
      <c r="R64" s="1525"/>
      <c r="S64" s="1525"/>
      <c r="T64" s="1525"/>
      <c r="U64" s="1534" t="s">
        <v>396</v>
      </c>
      <c r="V64" s="1534"/>
      <c r="W64" s="1525"/>
      <c r="X64" s="1525"/>
      <c r="Y64" s="94" t="s">
        <v>405</v>
      </c>
      <c r="Z64" s="1535"/>
      <c r="AA64" s="1536"/>
      <c r="AB64" s="95"/>
      <c r="AC64" s="96"/>
      <c r="AD64" s="132"/>
      <c r="AE64" s="62"/>
    </row>
    <row r="65" spans="1:31" x14ac:dyDescent="0.3">
      <c r="A65" s="61"/>
      <c r="B65" s="1546"/>
      <c r="C65" s="1532" t="s">
        <v>409</v>
      </c>
      <c r="D65" s="1532"/>
      <c r="E65" s="1532"/>
      <c r="F65" s="1532"/>
      <c r="G65" s="1532"/>
      <c r="H65" s="1532"/>
      <c r="I65" s="1533"/>
      <c r="J65" s="1533"/>
      <c r="K65" s="1533"/>
      <c r="L65" s="1533"/>
      <c r="M65" s="1532" t="s">
        <v>410</v>
      </c>
      <c r="N65" s="1532"/>
      <c r="O65" s="1532"/>
      <c r="P65" s="1532"/>
      <c r="Q65" s="1525"/>
      <c r="R65" s="1525"/>
      <c r="S65" s="1525"/>
      <c r="T65" s="1525"/>
      <c r="U65" s="1534" t="s">
        <v>396</v>
      </c>
      <c r="V65" s="1534"/>
      <c r="W65" s="1525"/>
      <c r="X65" s="1525"/>
      <c r="Y65" s="94" t="s">
        <v>405</v>
      </c>
      <c r="Z65" s="1535"/>
      <c r="AA65" s="1536"/>
      <c r="AB65" s="95"/>
      <c r="AC65" s="96"/>
      <c r="AD65" s="132"/>
      <c r="AE65" s="62"/>
    </row>
    <row r="66" spans="1:31" x14ac:dyDescent="0.3">
      <c r="A66" s="61"/>
      <c r="B66" s="1546"/>
      <c r="C66" s="1532" t="s">
        <v>409</v>
      </c>
      <c r="D66" s="1532"/>
      <c r="E66" s="1532"/>
      <c r="F66" s="1532"/>
      <c r="G66" s="1532"/>
      <c r="H66" s="1532"/>
      <c r="I66" s="1533"/>
      <c r="J66" s="1533"/>
      <c r="K66" s="1533"/>
      <c r="L66" s="1533"/>
      <c r="M66" s="1532" t="s">
        <v>410</v>
      </c>
      <c r="N66" s="1532"/>
      <c r="O66" s="1532"/>
      <c r="P66" s="1532"/>
      <c r="Q66" s="1525"/>
      <c r="R66" s="1525"/>
      <c r="S66" s="1525"/>
      <c r="T66" s="1525"/>
      <c r="U66" s="1534" t="s">
        <v>396</v>
      </c>
      <c r="V66" s="1534"/>
      <c r="W66" s="1525"/>
      <c r="X66" s="1525"/>
      <c r="Y66" s="94" t="s">
        <v>405</v>
      </c>
      <c r="Z66" s="1535"/>
      <c r="AA66" s="1536"/>
      <c r="AB66" s="95"/>
      <c r="AC66" s="96"/>
      <c r="AD66" s="132"/>
      <c r="AE66" s="62"/>
    </row>
    <row r="67" spans="1:31" x14ac:dyDescent="0.3">
      <c r="A67" s="61"/>
      <c r="B67" s="1546"/>
      <c r="C67" s="1532" t="s">
        <v>409</v>
      </c>
      <c r="D67" s="1532"/>
      <c r="E67" s="1532"/>
      <c r="F67" s="1532"/>
      <c r="G67" s="1532"/>
      <c r="H67" s="1532"/>
      <c r="I67" s="1533"/>
      <c r="J67" s="1533"/>
      <c r="K67" s="1533"/>
      <c r="L67" s="1533"/>
      <c r="M67" s="1532" t="s">
        <v>410</v>
      </c>
      <c r="N67" s="1532"/>
      <c r="O67" s="1532"/>
      <c r="P67" s="1532"/>
      <c r="Q67" s="1525"/>
      <c r="R67" s="1525"/>
      <c r="S67" s="1525"/>
      <c r="T67" s="1525"/>
      <c r="U67" s="1534" t="s">
        <v>396</v>
      </c>
      <c r="V67" s="1534"/>
      <c r="W67" s="1525"/>
      <c r="X67" s="1525"/>
      <c r="Y67" s="94" t="s">
        <v>405</v>
      </c>
      <c r="Z67" s="1535"/>
      <c r="AA67" s="1536"/>
      <c r="AB67" s="95"/>
      <c r="AC67" s="96"/>
      <c r="AD67" s="132"/>
      <c r="AE67" s="62"/>
    </row>
    <row r="68" spans="1:31" x14ac:dyDescent="0.3">
      <c r="A68" s="61"/>
      <c r="B68" s="1546"/>
      <c r="C68" s="1532" t="s">
        <v>409</v>
      </c>
      <c r="D68" s="1532"/>
      <c r="E68" s="1532"/>
      <c r="F68" s="1532"/>
      <c r="G68" s="1532"/>
      <c r="H68" s="1532"/>
      <c r="I68" s="1533"/>
      <c r="J68" s="1533"/>
      <c r="K68" s="1533"/>
      <c r="L68" s="1533"/>
      <c r="M68" s="1532" t="s">
        <v>410</v>
      </c>
      <c r="N68" s="1532"/>
      <c r="O68" s="1532"/>
      <c r="P68" s="1532"/>
      <c r="Q68" s="1525"/>
      <c r="R68" s="1525"/>
      <c r="S68" s="1525"/>
      <c r="T68" s="1525"/>
      <c r="U68" s="1534" t="s">
        <v>396</v>
      </c>
      <c r="V68" s="1534"/>
      <c r="W68" s="1525"/>
      <c r="X68" s="1525"/>
      <c r="Y68" s="94" t="s">
        <v>405</v>
      </c>
      <c r="Z68" s="1535"/>
      <c r="AA68" s="1536"/>
      <c r="AB68" s="95"/>
      <c r="AC68" s="96"/>
      <c r="AD68" s="132"/>
      <c r="AE68" s="62"/>
    </row>
    <row r="69" spans="1:31" x14ac:dyDescent="0.3">
      <c r="A69" s="61"/>
      <c r="B69" s="1546"/>
      <c r="C69" s="1532" t="s">
        <v>409</v>
      </c>
      <c r="D69" s="1532"/>
      <c r="E69" s="1532"/>
      <c r="F69" s="1532"/>
      <c r="G69" s="1532"/>
      <c r="H69" s="1532"/>
      <c r="I69" s="1533"/>
      <c r="J69" s="1533"/>
      <c r="K69" s="1533"/>
      <c r="L69" s="1533"/>
      <c r="M69" s="1532" t="s">
        <v>410</v>
      </c>
      <c r="N69" s="1532"/>
      <c r="O69" s="1532"/>
      <c r="P69" s="1532"/>
      <c r="Q69" s="1525"/>
      <c r="R69" s="1525"/>
      <c r="S69" s="1525"/>
      <c r="T69" s="1525"/>
      <c r="U69" s="1534" t="s">
        <v>396</v>
      </c>
      <c r="V69" s="1534"/>
      <c r="W69" s="1525"/>
      <c r="X69" s="1525"/>
      <c r="Y69" s="94" t="s">
        <v>405</v>
      </c>
      <c r="Z69" s="1535"/>
      <c r="AA69" s="1536"/>
      <c r="AB69" s="95"/>
      <c r="AC69" s="96"/>
      <c r="AD69" s="132"/>
      <c r="AE69" s="62"/>
    </row>
    <row r="70" spans="1:31" x14ac:dyDescent="0.3">
      <c r="A70" s="61"/>
      <c r="B70" s="1547"/>
      <c r="C70" s="1532" t="s">
        <v>409</v>
      </c>
      <c r="D70" s="1532"/>
      <c r="E70" s="1532"/>
      <c r="F70" s="1532"/>
      <c r="G70" s="1532"/>
      <c r="H70" s="1532"/>
      <c r="I70" s="1533"/>
      <c r="J70" s="1533"/>
      <c r="K70" s="1533"/>
      <c r="L70" s="1533"/>
      <c r="M70" s="1532" t="s">
        <v>410</v>
      </c>
      <c r="N70" s="1532"/>
      <c r="O70" s="1532"/>
      <c r="P70" s="1532"/>
      <c r="Q70" s="1525"/>
      <c r="R70" s="1525"/>
      <c r="S70" s="1525"/>
      <c r="T70" s="1525"/>
      <c r="U70" s="1534" t="s">
        <v>396</v>
      </c>
      <c r="V70" s="1534"/>
      <c r="W70" s="1525"/>
      <c r="X70" s="1525"/>
      <c r="Y70" s="94" t="s">
        <v>405</v>
      </c>
      <c r="Z70" s="1535"/>
      <c r="AA70" s="1536"/>
      <c r="AB70" s="95"/>
      <c r="AC70" s="96"/>
      <c r="AD70" s="132"/>
      <c r="AE70" s="62"/>
    </row>
    <row r="71" spans="1:31" ht="16.2" thickBot="1" x14ac:dyDescent="0.35">
      <c r="A71" s="61"/>
      <c r="B71" s="135"/>
      <c r="C71" s="136" t="s">
        <v>411</v>
      </c>
      <c r="D71" s="137"/>
      <c r="E71" s="137"/>
      <c r="F71" s="137"/>
      <c r="G71" s="137"/>
      <c r="H71" s="137"/>
      <c r="I71" s="137"/>
      <c r="J71" s="137"/>
      <c r="K71" s="137"/>
      <c r="L71" s="137"/>
      <c r="M71" s="137"/>
      <c r="N71" s="137"/>
      <c r="O71" s="138"/>
      <c r="P71" s="138"/>
      <c r="Q71" s="138"/>
      <c r="R71" s="138"/>
      <c r="S71" s="138"/>
      <c r="T71" s="138"/>
      <c r="U71" s="138"/>
      <c r="V71" s="138"/>
      <c r="W71" s="138"/>
      <c r="X71" s="138"/>
      <c r="Y71" s="138"/>
      <c r="Z71" s="138"/>
      <c r="AA71" s="138"/>
      <c r="AB71" s="138"/>
      <c r="AC71" s="139"/>
      <c r="AD71" s="293"/>
      <c r="AE71" s="62"/>
    </row>
    <row r="72" spans="1:31" ht="16.2" thickBot="1" x14ac:dyDescent="0.35">
      <c r="A72" s="63"/>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9"/>
    </row>
  </sheetData>
  <mergeCells count="121">
    <mergeCell ref="W70:X70"/>
    <mergeCell ref="Z70:AA70"/>
    <mergeCell ref="B62:B70"/>
    <mergeCell ref="C70:H70"/>
    <mergeCell ref="I70:L70"/>
    <mergeCell ref="M70:P70"/>
    <mergeCell ref="Q70:T70"/>
    <mergeCell ref="U70:V70"/>
    <mergeCell ref="W68:X68"/>
    <mergeCell ref="Z68:AA68"/>
    <mergeCell ref="C69:H69"/>
    <mergeCell ref="I69:L69"/>
    <mergeCell ref="M69:P69"/>
    <mergeCell ref="Q69:T69"/>
    <mergeCell ref="U69:V69"/>
    <mergeCell ref="W69:X69"/>
    <mergeCell ref="Z69:AA69"/>
    <mergeCell ref="C68:H68"/>
    <mergeCell ref="I68:L68"/>
    <mergeCell ref="M68:P68"/>
    <mergeCell ref="Q68:T68"/>
    <mergeCell ref="U68:V68"/>
    <mergeCell ref="W66:X66"/>
    <mergeCell ref="Z66:AA66"/>
    <mergeCell ref="C67:H67"/>
    <mergeCell ref="I67:L67"/>
    <mergeCell ref="M67:P67"/>
    <mergeCell ref="Q67:T67"/>
    <mergeCell ref="U67:V67"/>
    <mergeCell ref="W67:X67"/>
    <mergeCell ref="Z67:AA67"/>
    <mergeCell ref="C66:H66"/>
    <mergeCell ref="I66:L66"/>
    <mergeCell ref="M66:P66"/>
    <mergeCell ref="Q66:T66"/>
    <mergeCell ref="U66:V66"/>
    <mergeCell ref="W64:X64"/>
    <mergeCell ref="Z64:AA64"/>
    <mergeCell ref="C65:H65"/>
    <mergeCell ref="I65:L65"/>
    <mergeCell ref="M65:P65"/>
    <mergeCell ref="Q65:T65"/>
    <mergeCell ref="U65:V65"/>
    <mergeCell ref="W65:X65"/>
    <mergeCell ref="Z65:AA65"/>
    <mergeCell ref="C64:H64"/>
    <mergeCell ref="I64:L64"/>
    <mergeCell ref="M64:P64"/>
    <mergeCell ref="Q64:T64"/>
    <mergeCell ref="U64:V64"/>
    <mergeCell ref="C62:AA62"/>
    <mergeCell ref="C63:H63"/>
    <mergeCell ref="I63:L63"/>
    <mergeCell ref="M63:P63"/>
    <mergeCell ref="Q63:T63"/>
    <mergeCell ref="U63:V63"/>
    <mergeCell ref="W63:X63"/>
    <mergeCell ref="Z63:AA63"/>
    <mergeCell ref="C18:AA18"/>
    <mergeCell ref="C60:AA60"/>
    <mergeCell ref="C61:AA61"/>
    <mergeCell ref="C52:AA52"/>
    <mergeCell ref="C53:AA53"/>
    <mergeCell ref="C54:AA54"/>
    <mergeCell ref="C55:AA55"/>
    <mergeCell ref="D56:AA56"/>
    <mergeCell ref="D57:AA57"/>
    <mergeCell ref="D58:AA58"/>
    <mergeCell ref="C20:AA20"/>
    <mergeCell ref="C19:AA19"/>
    <mergeCell ref="C46:W46"/>
    <mergeCell ref="C47:W47"/>
    <mergeCell ref="C48:W48"/>
    <mergeCell ref="C49:W49"/>
    <mergeCell ref="C6:AA6"/>
    <mergeCell ref="B2:AC2"/>
    <mergeCell ref="C7:F7"/>
    <mergeCell ref="G7:I7"/>
    <mergeCell ref="J7:Q7"/>
    <mergeCell ref="R7:U7"/>
    <mergeCell ref="Z7:AA7"/>
    <mergeCell ref="W7:X7"/>
    <mergeCell ref="B4:AC4"/>
    <mergeCell ref="B55:B58"/>
    <mergeCell ref="B28:B36"/>
    <mergeCell ref="B37:B45"/>
    <mergeCell ref="C36:W36"/>
    <mergeCell ref="C45:W45"/>
    <mergeCell ref="C30:W30"/>
    <mergeCell ref="C32:W32"/>
    <mergeCell ref="C31:W31"/>
    <mergeCell ref="C33:W33"/>
    <mergeCell ref="C34:W34"/>
    <mergeCell ref="C35:W35"/>
    <mergeCell ref="C37:W37"/>
    <mergeCell ref="C38:W38"/>
    <mergeCell ref="C39:W39"/>
    <mergeCell ref="C28:W28"/>
    <mergeCell ref="C29:W29"/>
    <mergeCell ref="C40:W40"/>
    <mergeCell ref="C41:W41"/>
    <mergeCell ref="C42:W42"/>
    <mergeCell ref="C43:W43"/>
    <mergeCell ref="C44:W44"/>
    <mergeCell ref="C50:W50"/>
    <mergeCell ref="C17:AA17"/>
    <mergeCell ref="C14:AA14"/>
    <mergeCell ref="C15:Z15"/>
    <mergeCell ref="C23:W23"/>
    <mergeCell ref="C21:AA21"/>
    <mergeCell ref="C24:W24"/>
    <mergeCell ref="C25:W25"/>
    <mergeCell ref="C26:W26"/>
    <mergeCell ref="C8:J8"/>
    <mergeCell ref="K8:AC8"/>
    <mergeCell ref="C9:AA9"/>
    <mergeCell ref="C10:AA10"/>
    <mergeCell ref="C11:AA11"/>
    <mergeCell ref="C12:AA12"/>
    <mergeCell ref="C13:AA13"/>
    <mergeCell ref="C16:AA16"/>
  </mergeCells>
  <phoneticPr fontId="5" type="noConversion"/>
  <dataValidations count="2">
    <dataValidation type="list" allowBlank="1" showInputMessage="1" showErrorMessage="1" sqref="G7:I7" xr:uid="{00000000-0002-0000-0300-000000000000}">
      <formula1>$AJ$7:$AJ$13</formula1>
    </dataValidation>
    <dataValidation type="list" allowBlank="1" showInputMessage="1" showErrorMessage="1" sqref="R7:U7" xr:uid="{00000000-0002-0000-0300-000001000000}">
      <formula1>$AK$7:$AK$10</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AS62"/>
  <sheetViews>
    <sheetView topLeftCell="A43" zoomScale="93" zoomScaleNormal="93" zoomScalePageLayoutView="125" workbookViewId="0">
      <selection activeCell="C7" sqref="C7:AJ7"/>
    </sheetView>
  </sheetViews>
  <sheetFormatPr defaultColWidth="11" defaultRowHeight="15.6" x14ac:dyDescent="0.3"/>
  <cols>
    <col min="1" max="1" width="1.8984375" customWidth="1"/>
    <col min="2" max="2" width="7.09765625" style="31" customWidth="1"/>
    <col min="3" max="4" width="3.59765625" customWidth="1"/>
    <col min="5" max="7" width="3.59765625" style="11" customWidth="1"/>
    <col min="8" max="8" width="12.59765625" style="11" customWidth="1"/>
    <col min="9" max="9" width="3.59765625" style="11" customWidth="1"/>
    <col min="10" max="10" width="7.09765625" style="11" customWidth="1"/>
    <col min="11" max="32" width="3.59765625" style="11" customWidth="1"/>
    <col min="33" max="33" width="8.8984375" customWidth="1"/>
    <col min="34" max="34" width="8.5" customWidth="1"/>
    <col min="35" max="35" width="8.8984375" customWidth="1"/>
    <col min="36" max="36" width="6.5" customWidth="1"/>
    <col min="37" max="37" width="1.8984375" customWidth="1"/>
    <col min="38" max="38" width="7.09765625" customWidth="1"/>
    <col min="39" max="39" width="9" hidden="1" customWidth="1"/>
    <col min="40" max="40" width="8.3984375" hidden="1" customWidth="1"/>
    <col min="41" max="41" width="7.8984375" hidden="1" customWidth="1"/>
    <col min="42" max="42" width="8" hidden="1" customWidth="1"/>
    <col min="43" max="43" width="7.09765625" hidden="1" customWidth="1"/>
    <col min="44" max="44" width="5.59765625" hidden="1" customWidth="1"/>
    <col min="45" max="45" width="13.59765625" hidden="1" customWidth="1"/>
  </cols>
  <sheetData>
    <row r="1" spans="1:39" ht="14.25" customHeight="1" thickBot="1" x14ac:dyDescent="0.35">
      <c r="A1" s="245"/>
      <c r="B1" s="242"/>
      <c r="C1" s="243"/>
      <c r="D1" s="243"/>
      <c r="E1" s="243"/>
      <c r="F1" s="243"/>
      <c r="G1" s="243"/>
      <c r="H1" s="243"/>
      <c r="I1" s="243"/>
      <c r="J1" s="243"/>
      <c r="K1" s="243"/>
      <c r="L1" s="244"/>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4"/>
    </row>
    <row r="2" spans="1:39" ht="100.5" customHeight="1" x14ac:dyDescent="0.3">
      <c r="A2" s="245"/>
      <c r="B2" s="1588" t="s">
        <v>414</v>
      </c>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c r="AB2" s="1588"/>
      <c r="AC2" s="1588"/>
      <c r="AD2" s="1588"/>
      <c r="AE2" s="1588"/>
      <c r="AF2" s="1588"/>
      <c r="AG2" s="1588"/>
      <c r="AH2" s="1588"/>
      <c r="AI2" s="1588"/>
      <c r="AJ2" s="1588"/>
      <c r="AK2" s="245"/>
    </row>
    <row r="3" spans="1:39" ht="6.75" customHeight="1" x14ac:dyDescent="0.6">
      <c r="A3" s="140"/>
      <c r="B3" s="3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
      <c r="AI3" s="1"/>
      <c r="AJ3" s="1"/>
      <c r="AK3" s="140"/>
    </row>
    <row r="4" spans="1:39" s="1" customFormat="1" ht="3.9" customHeight="1" x14ac:dyDescent="0.3">
      <c r="A4" s="140"/>
      <c r="B4" s="33"/>
      <c r="C4" s="5"/>
      <c r="D4" s="5"/>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6"/>
      <c r="AH4" s="5"/>
      <c r="AI4" s="5"/>
      <c r="AJ4" s="7"/>
      <c r="AK4" s="140"/>
    </row>
    <row r="5" spans="1:39" s="1" customFormat="1" ht="2.1" customHeight="1" x14ac:dyDescent="0.3">
      <c r="A5" s="140"/>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2"/>
      <c r="AH5" s="202"/>
      <c r="AI5" s="202"/>
      <c r="AJ5" s="23"/>
      <c r="AK5" s="140"/>
      <c r="AL5" s="5"/>
      <c r="AM5" s="5"/>
    </row>
    <row r="6" spans="1:39" s="1" customFormat="1" ht="5.0999999999999996" customHeight="1" x14ac:dyDescent="0.3">
      <c r="A6" s="140"/>
      <c r="B6" s="200"/>
      <c r="C6" s="203"/>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4"/>
      <c r="AH6" s="204"/>
      <c r="AI6" s="204"/>
      <c r="AJ6" s="23"/>
      <c r="AK6" s="140"/>
      <c r="AL6" s="5"/>
      <c r="AM6" s="5"/>
    </row>
    <row r="7" spans="1:39" s="1" customFormat="1" ht="138.75" customHeight="1" x14ac:dyDescent="0.3">
      <c r="A7" s="140"/>
      <c r="B7" s="268"/>
      <c r="C7" s="1594" t="s">
        <v>1928</v>
      </c>
      <c r="D7" s="1594"/>
      <c r="E7" s="1594"/>
      <c r="F7" s="1594"/>
      <c r="G7" s="1594"/>
      <c r="H7" s="1594"/>
      <c r="I7" s="1594"/>
      <c r="J7" s="1594"/>
      <c r="K7" s="1594"/>
      <c r="L7" s="1594"/>
      <c r="M7" s="1594"/>
      <c r="N7" s="1594"/>
      <c r="O7" s="1594"/>
      <c r="P7" s="1594"/>
      <c r="Q7" s="1594"/>
      <c r="R7" s="1594"/>
      <c r="S7" s="1594"/>
      <c r="T7" s="1594"/>
      <c r="U7" s="1594"/>
      <c r="V7" s="1594"/>
      <c r="W7" s="1594"/>
      <c r="X7" s="1594"/>
      <c r="Y7" s="1594"/>
      <c r="Z7" s="1594"/>
      <c r="AA7" s="1594"/>
      <c r="AB7" s="1594"/>
      <c r="AC7" s="1594"/>
      <c r="AD7" s="1594"/>
      <c r="AE7" s="1594"/>
      <c r="AF7" s="1594"/>
      <c r="AG7" s="1594"/>
      <c r="AH7" s="1594"/>
      <c r="AI7" s="1594"/>
      <c r="AJ7" s="1595"/>
      <c r="AK7" s="140"/>
      <c r="AL7" s="5"/>
      <c r="AM7" s="5"/>
    </row>
    <row r="8" spans="1:39" s="1" customFormat="1" ht="3.9" customHeight="1" x14ac:dyDescent="0.3">
      <c r="A8" s="140"/>
      <c r="B8" s="200"/>
      <c r="C8" s="203"/>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4"/>
      <c r="AH8" s="204"/>
      <c r="AI8" s="204"/>
      <c r="AJ8" s="23"/>
      <c r="AK8" s="140"/>
      <c r="AL8" s="5"/>
      <c r="AM8" s="5"/>
    </row>
    <row r="9" spans="1:39" ht="62.4" x14ac:dyDescent="0.3">
      <c r="A9" s="140"/>
      <c r="B9" s="268" t="s">
        <v>6</v>
      </c>
      <c r="C9" s="1598" t="s">
        <v>5</v>
      </c>
      <c r="D9" s="1599"/>
      <c r="E9" s="1599"/>
      <c r="F9" s="1599"/>
      <c r="G9" s="1599"/>
      <c r="H9" s="1599"/>
      <c r="I9" s="1599"/>
      <c r="J9" s="1599"/>
      <c r="K9" s="1599"/>
      <c r="L9" s="1599"/>
      <c r="M9" s="1599"/>
      <c r="N9" s="1599"/>
      <c r="O9" s="1599"/>
      <c r="P9" s="1599"/>
      <c r="Q9" s="1599"/>
      <c r="R9" s="1599"/>
      <c r="S9" s="1599"/>
      <c r="T9" s="1599"/>
      <c r="U9" s="1599"/>
      <c r="V9" s="1599"/>
      <c r="W9" s="1599"/>
      <c r="X9" s="1599"/>
      <c r="Y9" s="1599"/>
      <c r="Z9" s="1599"/>
      <c r="AA9" s="1599"/>
      <c r="AB9" s="1599"/>
      <c r="AC9" s="1599"/>
      <c r="AD9" s="1599"/>
      <c r="AE9" s="1599"/>
      <c r="AF9" s="1600"/>
      <c r="AG9" s="145" t="s">
        <v>476</v>
      </c>
      <c r="AH9" s="145" t="s">
        <v>51</v>
      </c>
      <c r="AI9" s="145" t="s">
        <v>40</v>
      </c>
      <c r="AJ9" s="38"/>
      <c r="AK9" s="140"/>
      <c r="AL9" s="2"/>
      <c r="AM9" s="2"/>
    </row>
    <row r="10" spans="1:39" s="1" customFormat="1" ht="15.9" customHeight="1" x14ac:dyDescent="0.3">
      <c r="A10" s="140"/>
      <c r="B10" s="269">
        <v>1</v>
      </c>
      <c r="C10" s="1596" t="s">
        <v>61</v>
      </c>
      <c r="D10" s="1596"/>
      <c r="E10" s="1596"/>
      <c r="F10" s="1596"/>
      <c r="G10" s="1596"/>
      <c r="H10" s="1596"/>
      <c r="I10" s="1596"/>
      <c r="J10" s="1596"/>
      <c r="K10" s="1596"/>
      <c r="L10" s="1596"/>
      <c r="M10" s="1596"/>
      <c r="N10" s="1596"/>
      <c r="O10" s="1596"/>
      <c r="P10" s="1596"/>
      <c r="Q10" s="1596"/>
      <c r="R10" s="1596"/>
      <c r="S10" s="1596"/>
      <c r="T10" s="1596"/>
      <c r="U10" s="1596"/>
      <c r="V10" s="1596"/>
      <c r="W10" s="1596"/>
      <c r="X10" s="1596"/>
      <c r="Y10" s="1596"/>
      <c r="Z10" s="1596"/>
      <c r="AA10" s="1596"/>
      <c r="AB10" s="1596"/>
      <c r="AC10" s="1596"/>
      <c r="AD10" s="1596"/>
      <c r="AE10" s="1596"/>
      <c r="AF10" s="1596"/>
      <c r="AG10" s="1596"/>
      <c r="AH10" s="1596"/>
      <c r="AI10" s="1596"/>
      <c r="AJ10" s="1597"/>
      <c r="AK10" s="140"/>
      <c r="AL10" s="5"/>
      <c r="AM10" s="5"/>
    </row>
    <row r="11" spans="1:39" ht="33.9" customHeight="1" x14ac:dyDescent="0.3">
      <c r="A11" s="140"/>
      <c r="B11" s="270">
        <v>1.1000000000000001</v>
      </c>
      <c r="C11" s="1570" t="s">
        <v>430</v>
      </c>
      <c r="D11" s="1571"/>
      <c r="E11" s="1571"/>
      <c r="F11" s="1571"/>
      <c r="G11" s="1571"/>
      <c r="H11" s="1571"/>
      <c r="I11" s="1571"/>
      <c r="J11" s="1571"/>
      <c r="K11" s="1571"/>
      <c r="L11" s="1571"/>
      <c r="M11" s="1571"/>
      <c r="N11" s="1571"/>
      <c r="O11" s="1571"/>
      <c r="P11" s="1571"/>
      <c r="Q11" s="1572"/>
      <c r="R11" s="1561"/>
      <c r="S11" s="1562"/>
      <c r="T11" s="1562"/>
      <c r="U11" s="1562"/>
      <c r="V11" s="1562"/>
      <c r="W11" s="1562"/>
      <c r="X11" s="1562"/>
      <c r="Y11" s="1562"/>
      <c r="Z11" s="1562"/>
      <c r="AA11" s="1562"/>
      <c r="AB11" s="1562"/>
      <c r="AC11" s="1562"/>
      <c r="AD11" s="1562"/>
      <c r="AE11" s="1562"/>
      <c r="AF11" s="1563"/>
      <c r="AG11" s="206"/>
      <c r="AH11" s="207"/>
      <c r="AI11" s="206"/>
      <c r="AJ11" s="38"/>
      <c r="AK11" s="140"/>
      <c r="AL11" s="2"/>
      <c r="AM11" s="2"/>
    </row>
    <row r="12" spans="1:39" x14ac:dyDescent="0.3">
      <c r="A12" s="140"/>
      <c r="B12" s="270">
        <v>1.2</v>
      </c>
      <c r="C12" s="1570" t="s">
        <v>62</v>
      </c>
      <c r="D12" s="1571"/>
      <c r="E12" s="1571"/>
      <c r="F12" s="1571"/>
      <c r="G12" s="1571"/>
      <c r="H12" s="1571"/>
      <c r="I12" s="1571"/>
      <c r="J12" s="1571"/>
      <c r="K12" s="1571"/>
      <c r="L12" s="1571"/>
      <c r="M12" s="1571"/>
      <c r="N12" s="1571"/>
      <c r="O12" s="1571"/>
      <c r="P12" s="1571"/>
      <c r="Q12" s="1572"/>
      <c r="R12" s="1561"/>
      <c r="S12" s="1562"/>
      <c r="T12" s="1562"/>
      <c r="U12" s="1562"/>
      <c r="V12" s="1562"/>
      <c r="W12" s="1562"/>
      <c r="X12" s="1562"/>
      <c r="Y12" s="1562"/>
      <c r="Z12" s="1562"/>
      <c r="AA12" s="1562"/>
      <c r="AB12" s="1562"/>
      <c r="AC12" s="1562"/>
      <c r="AD12" s="1562"/>
      <c r="AE12" s="1562"/>
      <c r="AF12" s="1563"/>
      <c r="AG12" s="206"/>
      <c r="AH12" s="207"/>
      <c r="AI12" s="206"/>
      <c r="AJ12" s="38"/>
      <c r="AK12" s="140"/>
      <c r="AL12" s="2"/>
      <c r="AM12" s="2"/>
    </row>
    <row r="13" spans="1:39" x14ac:dyDescent="0.3">
      <c r="A13" s="140"/>
      <c r="B13" s="270">
        <v>1.3</v>
      </c>
      <c r="C13" s="1601" t="s">
        <v>447</v>
      </c>
      <c r="D13" s="1602"/>
      <c r="E13" s="1602"/>
      <c r="F13" s="1602"/>
      <c r="G13" s="1602"/>
      <c r="H13" s="1602"/>
      <c r="I13" s="1602"/>
      <c r="J13" s="1602"/>
      <c r="K13" s="1602"/>
      <c r="L13" s="1602"/>
      <c r="M13" s="1602"/>
      <c r="N13" s="1602"/>
      <c r="O13" s="1602"/>
      <c r="P13" s="1602"/>
      <c r="Q13" s="1603"/>
      <c r="R13" s="1561"/>
      <c r="S13" s="1562"/>
      <c r="T13" s="1562"/>
      <c r="U13" s="1562"/>
      <c r="V13" s="1562"/>
      <c r="W13" s="1562"/>
      <c r="X13" s="1562"/>
      <c r="Y13" s="1562"/>
      <c r="Z13" s="1562"/>
      <c r="AA13" s="1562"/>
      <c r="AB13" s="1562"/>
      <c r="AC13" s="1562"/>
      <c r="AD13" s="1562"/>
      <c r="AE13" s="1562"/>
      <c r="AF13" s="1563"/>
      <c r="AG13" s="206"/>
      <c r="AH13" s="207"/>
      <c r="AI13" s="206"/>
      <c r="AJ13" s="38"/>
      <c r="AK13" s="140"/>
      <c r="AL13" s="2"/>
      <c r="AM13" s="2"/>
    </row>
    <row r="14" spans="1:39" ht="30.9" customHeight="1" x14ac:dyDescent="0.3">
      <c r="A14" s="140"/>
      <c r="B14" s="270">
        <v>1.4</v>
      </c>
      <c r="C14" s="1576" t="s">
        <v>81</v>
      </c>
      <c r="D14" s="1577"/>
      <c r="E14" s="1577"/>
      <c r="F14" s="1577"/>
      <c r="G14" s="1577"/>
      <c r="H14" s="1577"/>
      <c r="I14" s="1577"/>
      <c r="J14" s="1577"/>
      <c r="K14" s="1577"/>
      <c r="L14" s="1577"/>
      <c r="M14" s="1577"/>
      <c r="N14" s="1577"/>
      <c r="O14" s="1577"/>
      <c r="P14" s="1577"/>
      <c r="Q14" s="1577"/>
      <c r="R14" s="1577"/>
      <c r="S14" s="1577"/>
      <c r="T14" s="1577"/>
      <c r="U14" s="1577"/>
      <c r="V14" s="1577"/>
      <c r="W14" s="1577"/>
      <c r="X14" s="1577"/>
      <c r="Y14" s="1577"/>
      <c r="Z14" s="1577"/>
      <c r="AA14" s="1577"/>
      <c r="AB14" s="1577"/>
      <c r="AC14" s="1577"/>
      <c r="AD14" s="1577"/>
      <c r="AE14" s="1577"/>
      <c r="AF14" s="1578"/>
      <c r="AG14" s="199"/>
      <c r="AH14" s="207"/>
      <c r="AI14" s="206"/>
      <c r="AJ14" s="38"/>
      <c r="AK14" s="140"/>
      <c r="AL14" s="2"/>
      <c r="AM14" s="2"/>
    </row>
    <row r="15" spans="1:39" ht="15" customHeight="1" x14ac:dyDescent="0.3">
      <c r="A15" s="140"/>
      <c r="B15" s="270">
        <v>1.5</v>
      </c>
      <c r="C15" s="1573" t="s">
        <v>23</v>
      </c>
      <c r="D15" s="1574"/>
      <c r="E15" s="1574"/>
      <c r="F15" s="1574"/>
      <c r="G15" s="1574"/>
      <c r="H15" s="1574"/>
      <c r="I15" s="1574"/>
      <c r="J15" s="1574"/>
      <c r="K15" s="1574"/>
      <c r="L15" s="1574"/>
      <c r="M15" s="1574"/>
      <c r="N15" s="1574"/>
      <c r="O15" s="1574"/>
      <c r="P15" s="1574"/>
      <c r="Q15" s="1574"/>
      <c r="R15" s="1574"/>
      <c r="S15" s="1574"/>
      <c r="T15" s="1574"/>
      <c r="U15" s="1574"/>
      <c r="V15" s="1574"/>
      <c r="W15" s="1574"/>
      <c r="X15" s="1574"/>
      <c r="Y15" s="1574"/>
      <c r="Z15" s="1574"/>
      <c r="AA15" s="1574"/>
      <c r="AB15" s="1574"/>
      <c r="AC15" s="1574"/>
      <c r="AD15" s="1574"/>
      <c r="AE15" s="1574"/>
      <c r="AF15" s="1575"/>
      <c r="AG15" s="208"/>
      <c r="AH15" s="207"/>
      <c r="AI15" s="207"/>
      <c r="AJ15" s="38"/>
      <c r="AK15" s="140"/>
      <c r="AL15" s="2"/>
      <c r="AM15" s="2"/>
    </row>
    <row r="16" spans="1:39" s="1" customFormat="1" ht="3.9" customHeight="1" x14ac:dyDescent="0.3">
      <c r="A16" s="140"/>
      <c r="B16" s="209"/>
      <c r="C16" s="210"/>
      <c r="D16" s="210"/>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0"/>
      <c r="AH16" s="210"/>
      <c r="AI16" s="210"/>
      <c r="AJ16" s="210"/>
      <c r="AK16" s="140"/>
      <c r="AL16" s="5"/>
      <c r="AM16" s="5"/>
    </row>
    <row r="17" spans="1:43" x14ac:dyDescent="0.3">
      <c r="A17" s="140"/>
      <c r="B17" s="271">
        <v>2</v>
      </c>
      <c r="C17" s="1586" t="s">
        <v>64</v>
      </c>
      <c r="D17" s="1587"/>
      <c r="E17" s="1587"/>
      <c r="F17" s="1587"/>
      <c r="G17" s="1587"/>
      <c r="H17" s="1587"/>
      <c r="I17" s="1587"/>
      <c r="J17" s="1587"/>
      <c r="K17" s="1587"/>
      <c r="L17" s="1587"/>
      <c r="M17" s="1587"/>
      <c r="N17" s="1587"/>
      <c r="O17" s="1587"/>
      <c r="P17" s="1587"/>
      <c r="Q17" s="1587"/>
      <c r="R17" s="1587"/>
      <c r="S17" s="1587"/>
      <c r="T17" s="1587"/>
      <c r="U17" s="1587"/>
      <c r="V17" s="1587"/>
      <c r="W17" s="1587"/>
      <c r="X17" s="1587"/>
      <c r="Y17" s="1587"/>
      <c r="Z17" s="1587"/>
      <c r="AA17" s="1587"/>
      <c r="AB17" s="1587"/>
      <c r="AC17" s="1587"/>
      <c r="AD17" s="1587"/>
      <c r="AE17" s="1587"/>
      <c r="AF17" s="1587"/>
      <c r="AG17" s="1587"/>
      <c r="AH17" s="1587"/>
      <c r="AI17" s="1587"/>
      <c r="AJ17" s="1587"/>
      <c r="AK17" s="140"/>
      <c r="AL17" s="2"/>
      <c r="AM17" s="2"/>
    </row>
    <row r="18" spans="1:43" ht="29.1" customHeight="1" x14ac:dyDescent="0.3">
      <c r="A18" s="140"/>
      <c r="B18" s="272">
        <v>2.1</v>
      </c>
      <c r="C18" s="1576" t="s">
        <v>65</v>
      </c>
      <c r="D18" s="1577"/>
      <c r="E18" s="1577"/>
      <c r="F18" s="1577"/>
      <c r="G18" s="1577"/>
      <c r="H18" s="1577"/>
      <c r="I18" s="1577"/>
      <c r="J18" s="1577"/>
      <c r="K18" s="1577"/>
      <c r="L18" s="1577"/>
      <c r="M18" s="1577"/>
      <c r="N18" s="1577"/>
      <c r="O18" s="1577"/>
      <c r="P18" s="1577"/>
      <c r="Q18" s="1577"/>
      <c r="R18" s="1577"/>
      <c r="S18" s="1577"/>
      <c r="T18" s="1577"/>
      <c r="U18" s="1577"/>
      <c r="V18" s="1577"/>
      <c r="W18" s="1577"/>
      <c r="X18" s="1577"/>
      <c r="Y18" s="1577"/>
      <c r="Z18" s="1577"/>
      <c r="AA18" s="1577"/>
      <c r="AB18" s="1577"/>
      <c r="AC18" s="1577"/>
      <c r="AD18" s="1577"/>
      <c r="AE18" s="1577"/>
      <c r="AF18" s="1578"/>
      <c r="AG18" s="213"/>
      <c r="AH18" s="207"/>
      <c r="AI18" s="213"/>
      <c r="AJ18" s="38"/>
      <c r="AK18" s="140"/>
      <c r="AL18" s="2"/>
      <c r="AM18" s="2"/>
    </row>
    <row r="19" spans="1:43" x14ac:dyDescent="0.3">
      <c r="A19" s="140"/>
      <c r="B19" s="1608">
        <v>2.2000000000000002</v>
      </c>
      <c r="C19" s="1592" t="s">
        <v>42</v>
      </c>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3"/>
      <c r="AC19" s="1593"/>
      <c r="AD19" s="1593"/>
      <c r="AE19" s="1593"/>
      <c r="AF19" s="1593"/>
      <c r="AG19" s="210"/>
      <c r="AH19" s="210"/>
      <c r="AI19" s="210"/>
      <c r="AJ19" s="214"/>
      <c r="AK19" s="140"/>
      <c r="AL19" s="2"/>
      <c r="AM19" s="2"/>
    </row>
    <row r="20" spans="1:43" x14ac:dyDescent="0.3">
      <c r="A20" s="140"/>
      <c r="B20" s="1609"/>
      <c r="C20" s="215" t="s">
        <v>33</v>
      </c>
      <c r="D20" s="1573" t="s">
        <v>24</v>
      </c>
      <c r="E20" s="1574"/>
      <c r="F20" s="1574"/>
      <c r="G20" s="1574"/>
      <c r="H20" s="1574"/>
      <c r="I20" s="1574"/>
      <c r="J20" s="1574"/>
      <c r="K20" s="1574"/>
      <c r="L20" s="1574"/>
      <c r="M20" s="1574"/>
      <c r="N20" s="1574"/>
      <c r="O20" s="1574"/>
      <c r="P20" s="1574"/>
      <c r="Q20" s="1574"/>
      <c r="R20" s="1574"/>
      <c r="S20" s="1574"/>
      <c r="T20" s="1574"/>
      <c r="U20" s="1574"/>
      <c r="V20" s="1574"/>
      <c r="W20" s="1574"/>
      <c r="X20" s="1574"/>
      <c r="Y20" s="1574"/>
      <c r="Z20" s="1574"/>
      <c r="AA20" s="1574"/>
      <c r="AB20" s="1574"/>
      <c r="AC20" s="1574"/>
      <c r="AD20" s="1574"/>
      <c r="AE20" s="1574"/>
      <c r="AF20" s="1575"/>
      <c r="AG20" s="213"/>
      <c r="AH20" s="207"/>
      <c r="AI20" s="216"/>
      <c r="AJ20" s="38"/>
      <c r="AK20" s="140"/>
      <c r="AL20" s="2"/>
      <c r="AM20" s="2"/>
    </row>
    <row r="21" spans="1:43" x14ac:dyDescent="0.3">
      <c r="A21" s="140"/>
      <c r="B21" s="1609"/>
      <c r="C21" s="215" t="s">
        <v>34</v>
      </c>
      <c r="D21" s="1573" t="s">
        <v>25</v>
      </c>
      <c r="E21" s="1574"/>
      <c r="F21" s="1574"/>
      <c r="G21" s="1574"/>
      <c r="H21" s="1574"/>
      <c r="I21" s="1574"/>
      <c r="J21" s="1574"/>
      <c r="K21" s="1574"/>
      <c r="L21" s="1574"/>
      <c r="M21" s="1574"/>
      <c r="N21" s="1574"/>
      <c r="O21" s="1574"/>
      <c r="P21" s="1574"/>
      <c r="Q21" s="1574"/>
      <c r="R21" s="1574"/>
      <c r="S21" s="1574"/>
      <c r="T21" s="1574"/>
      <c r="U21" s="1574"/>
      <c r="V21" s="1574"/>
      <c r="W21" s="1574"/>
      <c r="X21" s="1574"/>
      <c r="Y21" s="1574"/>
      <c r="Z21" s="1574"/>
      <c r="AA21" s="1574"/>
      <c r="AB21" s="1574"/>
      <c r="AC21" s="1574"/>
      <c r="AD21" s="1574"/>
      <c r="AE21" s="1574"/>
      <c r="AF21" s="1575"/>
      <c r="AG21" s="213"/>
      <c r="AH21" s="207"/>
      <c r="AI21" s="216"/>
      <c r="AJ21" s="38"/>
      <c r="AK21" s="140"/>
      <c r="AL21" s="2"/>
      <c r="AM21" s="2"/>
    </row>
    <row r="22" spans="1:43" x14ac:dyDescent="0.3">
      <c r="A22" s="140"/>
      <c r="B22" s="273">
        <v>2.2999999999999998</v>
      </c>
      <c r="C22" s="1573" t="s">
        <v>66</v>
      </c>
      <c r="D22" s="1574"/>
      <c r="E22" s="1574"/>
      <c r="F22" s="1574"/>
      <c r="G22" s="1574"/>
      <c r="H22" s="1574"/>
      <c r="I22" s="1574"/>
      <c r="J22" s="1574"/>
      <c r="K22" s="1574"/>
      <c r="L22" s="1574"/>
      <c r="M22" s="1574"/>
      <c r="N22" s="1574"/>
      <c r="O22" s="1574"/>
      <c r="P22" s="1574"/>
      <c r="Q22" s="1574"/>
      <c r="R22" s="1574"/>
      <c r="S22" s="1574"/>
      <c r="T22" s="1574"/>
      <c r="U22" s="1574"/>
      <c r="V22" s="1574"/>
      <c r="W22" s="1574"/>
      <c r="X22" s="1574"/>
      <c r="Y22" s="1574"/>
      <c r="Z22" s="1574"/>
      <c r="AA22" s="1574"/>
      <c r="AB22" s="1574"/>
      <c r="AC22" s="1574"/>
      <c r="AD22" s="1574"/>
      <c r="AE22" s="1574"/>
      <c r="AF22" s="1575"/>
      <c r="AG22" s="213"/>
      <c r="AH22" s="207"/>
      <c r="AI22" s="216"/>
      <c r="AJ22" s="38"/>
      <c r="AK22" s="140"/>
      <c r="AL22" s="2"/>
      <c r="AM22" s="2"/>
    </row>
    <row r="23" spans="1:43" x14ac:dyDescent="0.3">
      <c r="A23" s="140"/>
      <c r="B23" s="273">
        <v>2.4</v>
      </c>
      <c r="C23" s="1573" t="s">
        <v>29</v>
      </c>
      <c r="D23" s="1574"/>
      <c r="E23" s="1574"/>
      <c r="F23" s="1574"/>
      <c r="G23" s="1574"/>
      <c r="H23" s="1574"/>
      <c r="I23" s="1574"/>
      <c r="J23" s="1574"/>
      <c r="K23" s="1574"/>
      <c r="L23" s="1574"/>
      <c r="M23" s="1574"/>
      <c r="N23" s="1574"/>
      <c r="O23" s="1574"/>
      <c r="P23" s="1574"/>
      <c r="Q23" s="1574"/>
      <c r="R23" s="1574"/>
      <c r="S23" s="1574"/>
      <c r="T23" s="1574"/>
      <c r="U23" s="1574"/>
      <c r="V23" s="1574"/>
      <c r="W23" s="1574"/>
      <c r="X23" s="1574"/>
      <c r="Y23" s="1574"/>
      <c r="Z23" s="1574"/>
      <c r="AA23" s="1574"/>
      <c r="AB23" s="1574"/>
      <c r="AC23" s="1574"/>
      <c r="AD23" s="1574"/>
      <c r="AE23" s="1574"/>
      <c r="AF23" s="1575"/>
      <c r="AG23" s="213"/>
      <c r="AH23" s="207"/>
      <c r="AI23" s="216"/>
      <c r="AJ23" s="38"/>
      <c r="AK23" s="140"/>
      <c r="AL23" s="2"/>
      <c r="AM23" s="2"/>
    </row>
    <row r="24" spans="1:43" ht="29.1" customHeight="1" x14ac:dyDescent="0.3">
      <c r="A24" s="140"/>
      <c r="B24" s="273">
        <v>2.5</v>
      </c>
      <c r="C24" s="1537" t="s">
        <v>477</v>
      </c>
      <c r="D24" s="1538"/>
      <c r="E24" s="1538"/>
      <c r="F24" s="1538"/>
      <c r="G24" s="1538"/>
      <c r="H24" s="1538"/>
      <c r="I24" s="1538"/>
      <c r="J24" s="1538"/>
      <c r="K24" s="1538"/>
      <c r="L24" s="1538"/>
      <c r="M24" s="1538"/>
      <c r="N24" s="1538"/>
      <c r="O24" s="1538"/>
      <c r="P24" s="1538"/>
      <c r="Q24" s="1538"/>
      <c r="R24" s="1538"/>
      <c r="S24" s="1538"/>
      <c r="T24" s="1538"/>
      <c r="U24" s="1538"/>
      <c r="V24" s="1538"/>
      <c r="W24" s="1538"/>
      <c r="X24" s="1538"/>
      <c r="Y24" s="1538"/>
      <c r="Z24" s="1538"/>
      <c r="AA24" s="1538"/>
      <c r="AB24" s="1538"/>
      <c r="AC24" s="1538"/>
      <c r="AD24" s="1538"/>
      <c r="AE24" s="1538"/>
      <c r="AF24" s="1538"/>
      <c r="AG24" s="213"/>
      <c r="AH24" s="207"/>
      <c r="AI24" s="216"/>
      <c r="AJ24" s="38"/>
      <c r="AK24" s="140"/>
      <c r="AL24" s="2"/>
      <c r="AM24" s="2"/>
    </row>
    <row r="25" spans="1:43" ht="42.9" customHeight="1" x14ac:dyDescent="0.3">
      <c r="A25" s="140"/>
      <c r="B25" s="273">
        <v>2.6</v>
      </c>
      <c r="C25" s="1537" t="s">
        <v>478</v>
      </c>
      <c r="D25" s="1538"/>
      <c r="E25" s="1538"/>
      <c r="F25" s="1538"/>
      <c r="G25" s="1538"/>
      <c r="H25" s="1538"/>
      <c r="I25" s="1538"/>
      <c r="J25" s="1538"/>
      <c r="K25" s="1538"/>
      <c r="L25" s="1538"/>
      <c r="M25" s="1538"/>
      <c r="N25" s="1538"/>
      <c r="O25" s="1538"/>
      <c r="P25" s="1538"/>
      <c r="Q25" s="1538"/>
      <c r="R25" s="1538"/>
      <c r="S25" s="1538"/>
      <c r="T25" s="1538"/>
      <c r="U25" s="1538"/>
      <c r="V25" s="1538"/>
      <c r="W25" s="1538"/>
      <c r="X25" s="1538"/>
      <c r="Y25" s="1538"/>
      <c r="Z25" s="1538"/>
      <c r="AA25" s="1538"/>
      <c r="AB25" s="1538"/>
      <c r="AC25" s="1538"/>
      <c r="AD25" s="1538"/>
      <c r="AE25" s="1538"/>
      <c r="AF25" s="1538"/>
      <c r="AG25" s="213"/>
      <c r="AH25" s="207"/>
      <c r="AI25" s="216"/>
      <c r="AJ25" s="38"/>
      <c r="AK25" s="140"/>
      <c r="AL25" s="2"/>
      <c r="AM25" s="2"/>
    </row>
    <row r="26" spans="1:43" ht="45" customHeight="1" x14ac:dyDescent="0.3">
      <c r="A26" s="140"/>
      <c r="B26" s="273">
        <v>2.7</v>
      </c>
      <c r="C26" s="1567" t="s">
        <v>436</v>
      </c>
      <c r="D26" s="1568"/>
      <c r="E26" s="1568"/>
      <c r="F26" s="1568"/>
      <c r="G26" s="1568"/>
      <c r="H26" s="1568"/>
      <c r="I26" s="1568"/>
      <c r="J26" s="1568"/>
      <c r="K26" s="1568"/>
      <c r="L26" s="1568"/>
      <c r="M26" s="1568"/>
      <c r="N26" s="1568"/>
      <c r="O26" s="1568"/>
      <c r="P26" s="1568"/>
      <c r="Q26" s="1569"/>
      <c r="R26" s="1579" t="s">
        <v>15</v>
      </c>
      <c r="S26" s="1580"/>
      <c r="T26" s="1581"/>
      <c r="U26" s="1579" t="s">
        <v>456</v>
      </c>
      <c r="V26" s="1580"/>
      <c r="W26" s="1581"/>
      <c r="X26" s="1582" t="s">
        <v>8</v>
      </c>
      <c r="Y26" s="1604"/>
      <c r="Z26" s="1583"/>
      <c r="AA26" s="1582" t="s">
        <v>9</v>
      </c>
      <c r="AB26" s="1604"/>
      <c r="AC26" s="1583"/>
      <c r="AD26" s="1613" t="s">
        <v>31</v>
      </c>
      <c r="AE26" s="1614"/>
      <c r="AF26" s="1582" t="s">
        <v>10</v>
      </c>
      <c r="AG26" s="1583"/>
      <c r="AH26" s="217" t="s">
        <v>31</v>
      </c>
      <c r="AI26" s="218"/>
      <c r="AJ26" s="218"/>
      <c r="AK26" s="140"/>
    </row>
    <row r="27" spans="1:43" x14ac:dyDescent="0.3">
      <c r="A27" s="140"/>
      <c r="B27" s="202"/>
      <c r="C27" s="202"/>
      <c r="D27" s="1548" t="s">
        <v>63</v>
      </c>
      <c r="E27" s="1549"/>
      <c r="F27" s="1549"/>
      <c r="G27" s="1549"/>
      <c r="H27" s="1549"/>
      <c r="I27" s="1549"/>
      <c r="J27" s="1549"/>
      <c r="K27" s="1549"/>
      <c r="L27" s="1549"/>
      <c r="M27" s="1549"/>
      <c r="N27" s="1549"/>
      <c r="O27" s="1549"/>
      <c r="P27" s="1549"/>
      <c r="Q27" s="1550"/>
      <c r="R27" s="1561"/>
      <c r="S27" s="1562"/>
      <c r="T27" s="1563"/>
      <c r="U27" s="1561"/>
      <c r="V27" s="1562"/>
      <c r="W27" s="1563"/>
      <c r="X27" s="1564" t="str">
        <f>IF(ISBLANK(U27)," ", ((U27-R27)/R27))</f>
        <v xml:space="preserve"> </v>
      </c>
      <c r="Y27" s="1565"/>
      <c r="Z27" s="1566"/>
      <c r="AA27" s="1610"/>
      <c r="AB27" s="1611"/>
      <c r="AC27" s="1612"/>
      <c r="AD27" s="1551" t="str">
        <f>IF(X27&gt;15.499%,"NO",IF(X27&lt;-15.499%,"NO","YES"))</f>
        <v>NO</v>
      </c>
      <c r="AE27" s="1553"/>
      <c r="AF27" s="1584"/>
      <c r="AG27" s="1585"/>
      <c r="AH27" s="219"/>
      <c r="AI27" s="218"/>
      <c r="AJ27" s="218"/>
      <c r="AK27" s="140"/>
    </row>
    <row r="28" spans="1:43" x14ac:dyDescent="0.3">
      <c r="A28" s="140"/>
      <c r="B28" s="202"/>
      <c r="C28" s="202"/>
      <c r="D28" s="1548" t="s">
        <v>11</v>
      </c>
      <c r="E28" s="1549"/>
      <c r="F28" s="1549"/>
      <c r="G28" s="1549"/>
      <c r="H28" s="1549"/>
      <c r="I28" s="1549"/>
      <c r="J28" s="1549"/>
      <c r="K28" s="1549"/>
      <c r="L28" s="1549"/>
      <c r="M28" s="1549"/>
      <c r="N28" s="1549"/>
      <c r="O28" s="1549"/>
      <c r="P28" s="1549"/>
      <c r="Q28" s="1550"/>
      <c r="R28" s="1561"/>
      <c r="S28" s="1562"/>
      <c r="T28" s="1563"/>
      <c r="U28" s="1561"/>
      <c r="V28" s="1562"/>
      <c r="W28" s="1563"/>
      <c r="X28" s="1564" t="str">
        <f t="shared" ref="X28:X34" si="0">IF(ISBLANK(U28)," ", ((U28-R28)/R28))</f>
        <v xml:space="preserve"> </v>
      </c>
      <c r="Y28" s="1565"/>
      <c r="Z28" s="1566"/>
      <c r="AA28" s="1551">
        <f t="shared" ref="AA28:AA34" si="1">U28-R28</f>
        <v>0</v>
      </c>
      <c r="AB28" s="1552"/>
      <c r="AC28" s="1553"/>
      <c r="AD28" s="1551" t="str">
        <f t="shared" ref="AD28:AD34" si="2">IF(AA28&gt;AP28,"NO",IF(AA28&lt;AQ28,"NO","YES"))</f>
        <v>YES</v>
      </c>
      <c r="AE28" s="1553"/>
      <c r="AF28" s="1561"/>
      <c r="AG28" s="1563"/>
      <c r="AH28" s="220" t="str">
        <f t="shared" ref="AH28:AH34" si="3">IF(AF28&lt;3.4999,"YES","NO")</f>
        <v>YES</v>
      </c>
      <c r="AI28" s="218"/>
      <c r="AJ28" s="218"/>
      <c r="AK28" s="140"/>
      <c r="AN28">
        <f t="shared" ref="AN28:AN34" si="4">(R28*1.2)-R28</f>
        <v>0</v>
      </c>
      <c r="AO28">
        <v>25</v>
      </c>
      <c r="AP28">
        <f t="shared" ref="AP28:AP34" si="5">IF(AO28&gt;AN28,AO28,AN28)</f>
        <v>25</v>
      </c>
      <c r="AQ28">
        <f>AP28*-1</f>
        <v>-25</v>
      </c>
    </row>
    <row r="29" spans="1:43" x14ac:dyDescent="0.3">
      <c r="A29" s="140"/>
      <c r="B29" s="202"/>
      <c r="C29" s="202"/>
      <c r="D29" s="1548" t="s">
        <v>11</v>
      </c>
      <c r="E29" s="1549"/>
      <c r="F29" s="1549"/>
      <c r="G29" s="1549"/>
      <c r="H29" s="1549"/>
      <c r="I29" s="1549"/>
      <c r="J29" s="1549"/>
      <c r="K29" s="1549"/>
      <c r="L29" s="1549"/>
      <c r="M29" s="1549"/>
      <c r="N29" s="1549"/>
      <c r="O29" s="1549"/>
      <c r="P29" s="1549"/>
      <c r="Q29" s="1550"/>
      <c r="R29" s="1561"/>
      <c r="S29" s="1562"/>
      <c r="T29" s="1563"/>
      <c r="U29" s="1561"/>
      <c r="V29" s="1562"/>
      <c r="W29" s="1563"/>
      <c r="X29" s="1564" t="str">
        <f t="shared" si="0"/>
        <v xml:space="preserve"> </v>
      </c>
      <c r="Y29" s="1565"/>
      <c r="Z29" s="1566"/>
      <c r="AA29" s="1551">
        <f t="shared" si="1"/>
        <v>0</v>
      </c>
      <c r="AB29" s="1552"/>
      <c r="AC29" s="1553"/>
      <c r="AD29" s="1551" t="str">
        <f t="shared" si="2"/>
        <v>YES</v>
      </c>
      <c r="AE29" s="1553"/>
      <c r="AF29" s="1561"/>
      <c r="AG29" s="1563"/>
      <c r="AH29" s="220" t="str">
        <f t="shared" si="3"/>
        <v>YES</v>
      </c>
      <c r="AI29" s="218"/>
      <c r="AJ29" s="218"/>
      <c r="AK29" s="140"/>
      <c r="AN29">
        <f t="shared" si="4"/>
        <v>0</v>
      </c>
      <c r="AO29">
        <v>25</v>
      </c>
      <c r="AP29">
        <f t="shared" si="5"/>
        <v>25</v>
      </c>
      <c r="AQ29">
        <f>AP29*-1</f>
        <v>-25</v>
      </c>
    </row>
    <row r="30" spans="1:43" x14ac:dyDescent="0.3">
      <c r="A30" s="140"/>
      <c r="B30" s="202"/>
      <c r="C30" s="202"/>
      <c r="D30" s="1548" t="s">
        <v>11</v>
      </c>
      <c r="E30" s="1549"/>
      <c r="F30" s="1549"/>
      <c r="G30" s="1549"/>
      <c r="H30" s="1549"/>
      <c r="I30" s="1549"/>
      <c r="J30" s="1549"/>
      <c r="K30" s="1549"/>
      <c r="L30" s="1549"/>
      <c r="M30" s="1549"/>
      <c r="N30" s="1549"/>
      <c r="O30" s="1549"/>
      <c r="P30" s="1549"/>
      <c r="Q30" s="1550"/>
      <c r="R30" s="1561"/>
      <c r="S30" s="1562"/>
      <c r="T30" s="1563"/>
      <c r="U30" s="1561"/>
      <c r="V30" s="1562"/>
      <c r="W30" s="1563"/>
      <c r="X30" s="1564" t="str">
        <f t="shared" si="0"/>
        <v xml:space="preserve"> </v>
      </c>
      <c r="Y30" s="1565"/>
      <c r="Z30" s="1566"/>
      <c r="AA30" s="1551">
        <f t="shared" si="1"/>
        <v>0</v>
      </c>
      <c r="AB30" s="1552"/>
      <c r="AC30" s="1553"/>
      <c r="AD30" s="1551" t="str">
        <f t="shared" si="2"/>
        <v>YES</v>
      </c>
      <c r="AE30" s="1553"/>
      <c r="AF30" s="1561"/>
      <c r="AG30" s="1563"/>
      <c r="AH30" s="220" t="str">
        <f t="shared" si="3"/>
        <v>YES</v>
      </c>
      <c r="AI30" s="218"/>
      <c r="AJ30" s="218"/>
      <c r="AK30" s="140"/>
      <c r="AN30">
        <f t="shared" si="4"/>
        <v>0</v>
      </c>
      <c r="AO30">
        <v>25</v>
      </c>
      <c r="AP30">
        <f t="shared" si="5"/>
        <v>25</v>
      </c>
      <c r="AQ30">
        <f t="shared" ref="AQ30:AQ34" si="6">AP30*-1</f>
        <v>-25</v>
      </c>
    </row>
    <row r="31" spans="1:43" x14ac:dyDescent="0.3">
      <c r="A31" s="140"/>
      <c r="B31" s="202"/>
      <c r="C31" s="202"/>
      <c r="D31" s="1548" t="s">
        <v>11</v>
      </c>
      <c r="E31" s="1549"/>
      <c r="F31" s="1549"/>
      <c r="G31" s="1549"/>
      <c r="H31" s="1549"/>
      <c r="I31" s="1549"/>
      <c r="J31" s="1549"/>
      <c r="K31" s="1549"/>
      <c r="L31" s="1549"/>
      <c r="M31" s="1549"/>
      <c r="N31" s="1549"/>
      <c r="O31" s="1549"/>
      <c r="P31" s="1549"/>
      <c r="Q31" s="1550"/>
      <c r="R31" s="1561"/>
      <c r="S31" s="1562"/>
      <c r="T31" s="1563"/>
      <c r="U31" s="1561"/>
      <c r="V31" s="1562"/>
      <c r="W31" s="1563"/>
      <c r="X31" s="1564" t="str">
        <f t="shared" si="0"/>
        <v xml:space="preserve"> </v>
      </c>
      <c r="Y31" s="1565"/>
      <c r="Z31" s="1566"/>
      <c r="AA31" s="1551">
        <f t="shared" si="1"/>
        <v>0</v>
      </c>
      <c r="AB31" s="1552"/>
      <c r="AC31" s="1553"/>
      <c r="AD31" s="1551" t="str">
        <f t="shared" si="2"/>
        <v>YES</v>
      </c>
      <c r="AE31" s="1553"/>
      <c r="AF31" s="1561"/>
      <c r="AG31" s="1563"/>
      <c r="AH31" s="220" t="str">
        <f t="shared" si="3"/>
        <v>YES</v>
      </c>
      <c r="AI31" s="218"/>
      <c r="AJ31" s="218"/>
      <c r="AK31" s="140"/>
      <c r="AN31">
        <f t="shared" si="4"/>
        <v>0</v>
      </c>
      <c r="AO31">
        <v>25</v>
      </c>
      <c r="AP31">
        <f t="shared" si="5"/>
        <v>25</v>
      </c>
      <c r="AQ31">
        <f t="shared" si="6"/>
        <v>-25</v>
      </c>
    </row>
    <row r="32" spans="1:43" x14ac:dyDescent="0.3">
      <c r="A32" s="140"/>
      <c r="B32" s="202"/>
      <c r="C32" s="202"/>
      <c r="D32" s="1548" t="s">
        <v>11</v>
      </c>
      <c r="E32" s="1549"/>
      <c r="F32" s="1549"/>
      <c r="G32" s="1549"/>
      <c r="H32" s="1549"/>
      <c r="I32" s="1549"/>
      <c r="J32" s="1549"/>
      <c r="K32" s="1549"/>
      <c r="L32" s="1549"/>
      <c r="M32" s="1549"/>
      <c r="N32" s="1549"/>
      <c r="O32" s="1549"/>
      <c r="P32" s="1549"/>
      <c r="Q32" s="1550"/>
      <c r="R32" s="1561"/>
      <c r="S32" s="1562"/>
      <c r="T32" s="1563"/>
      <c r="U32" s="1561"/>
      <c r="V32" s="1562"/>
      <c r="W32" s="1563"/>
      <c r="X32" s="1564" t="str">
        <f t="shared" si="0"/>
        <v xml:space="preserve"> </v>
      </c>
      <c r="Y32" s="1565"/>
      <c r="Z32" s="1566"/>
      <c r="AA32" s="1551">
        <f t="shared" si="1"/>
        <v>0</v>
      </c>
      <c r="AB32" s="1552"/>
      <c r="AC32" s="1553"/>
      <c r="AD32" s="1551" t="str">
        <f t="shared" si="2"/>
        <v>YES</v>
      </c>
      <c r="AE32" s="1553"/>
      <c r="AF32" s="1561"/>
      <c r="AG32" s="1563"/>
      <c r="AH32" s="220" t="str">
        <f t="shared" si="3"/>
        <v>YES</v>
      </c>
      <c r="AI32" s="218"/>
      <c r="AJ32" s="218"/>
      <c r="AK32" s="140"/>
      <c r="AN32">
        <f t="shared" si="4"/>
        <v>0</v>
      </c>
      <c r="AO32">
        <v>25</v>
      </c>
      <c r="AP32">
        <f t="shared" si="5"/>
        <v>25</v>
      </c>
      <c r="AQ32">
        <f t="shared" si="6"/>
        <v>-25</v>
      </c>
    </row>
    <row r="33" spans="1:43" x14ac:dyDescent="0.3">
      <c r="A33" s="140"/>
      <c r="B33" s="202"/>
      <c r="C33" s="210"/>
      <c r="D33" s="1548" t="s">
        <v>11</v>
      </c>
      <c r="E33" s="1549"/>
      <c r="F33" s="1549"/>
      <c r="G33" s="1549"/>
      <c r="H33" s="1549"/>
      <c r="I33" s="1549"/>
      <c r="J33" s="1549"/>
      <c r="K33" s="1549"/>
      <c r="L33" s="1549"/>
      <c r="M33" s="1549"/>
      <c r="N33" s="1549"/>
      <c r="O33" s="1549"/>
      <c r="P33" s="1549"/>
      <c r="Q33" s="1550"/>
      <c r="R33" s="1561"/>
      <c r="S33" s="1562"/>
      <c r="T33" s="1563"/>
      <c r="U33" s="1561"/>
      <c r="V33" s="1562"/>
      <c r="W33" s="1563"/>
      <c r="X33" s="1564" t="str">
        <f t="shared" si="0"/>
        <v xml:space="preserve"> </v>
      </c>
      <c r="Y33" s="1565"/>
      <c r="Z33" s="1566"/>
      <c r="AA33" s="1551">
        <f t="shared" si="1"/>
        <v>0</v>
      </c>
      <c r="AB33" s="1552"/>
      <c r="AC33" s="1553"/>
      <c r="AD33" s="1551" t="str">
        <f t="shared" si="2"/>
        <v>YES</v>
      </c>
      <c r="AE33" s="1553"/>
      <c r="AF33" s="1561"/>
      <c r="AG33" s="1563"/>
      <c r="AH33" s="220" t="str">
        <f t="shared" si="3"/>
        <v>YES</v>
      </c>
      <c r="AI33" s="218"/>
      <c r="AJ33" s="218"/>
      <c r="AK33" s="140"/>
      <c r="AN33">
        <f t="shared" si="4"/>
        <v>0</v>
      </c>
      <c r="AO33">
        <v>25</v>
      </c>
      <c r="AP33">
        <f t="shared" si="5"/>
        <v>25</v>
      </c>
      <c r="AQ33">
        <f t="shared" si="6"/>
        <v>-25</v>
      </c>
    </row>
    <row r="34" spans="1:43" x14ac:dyDescent="0.3">
      <c r="A34" s="140"/>
      <c r="B34" s="202"/>
      <c r="C34" s="210"/>
      <c r="D34" s="1548" t="s">
        <v>11</v>
      </c>
      <c r="E34" s="1549"/>
      <c r="F34" s="1549"/>
      <c r="G34" s="1549"/>
      <c r="H34" s="1549"/>
      <c r="I34" s="1549"/>
      <c r="J34" s="1549"/>
      <c r="K34" s="1549"/>
      <c r="L34" s="1549"/>
      <c r="M34" s="1549"/>
      <c r="N34" s="1549"/>
      <c r="O34" s="1549"/>
      <c r="P34" s="1549"/>
      <c r="Q34" s="1550"/>
      <c r="R34" s="1561"/>
      <c r="S34" s="1562"/>
      <c r="T34" s="1563"/>
      <c r="U34" s="1561"/>
      <c r="V34" s="1562"/>
      <c r="W34" s="1563"/>
      <c r="X34" s="1564" t="str">
        <f t="shared" si="0"/>
        <v xml:space="preserve"> </v>
      </c>
      <c r="Y34" s="1565"/>
      <c r="Z34" s="1566"/>
      <c r="AA34" s="1551">
        <f t="shared" si="1"/>
        <v>0</v>
      </c>
      <c r="AB34" s="1552"/>
      <c r="AC34" s="1553"/>
      <c r="AD34" s="1551" t="str">
        <f t="shared" si="2"/>
        <v>YES</v>
      </c>
      <c r="AE34" s="1553"/>
      <c r="AF34" s="1561"/>
      <c r="AG34" s="1563"/>
      <c r="AH34" s="220" t="str">
        <f t="shared" si="3"/>
        <v>YES</v>
      </c>
      <c r="AI34" s="218"/>
      <c r="AJ34" s="218"/>
      <c r="AK34" s="140"/>
      <c r="AN34">
        <f t="shared" si="4"/>
        <v>0</v>
      </c>
      <c r="AO34">
        <v>25</v>
      </c>
      <c r="AP34">
        <f t="shared" si="5"/>
        <v>25</v>
      </c>
      <c r="AQ34">
        <f t="shared" si="6"/>
        <v>-25</v>
      </c>
    </row>
    <row r="35" spans="1:43" s="1" customFormat="1" ht="3" customHeight="1" x14ac:dyDescent="0.3">
      <c r="A35" s="140"/>
      <c r="B35" s="202"/>
      <c r="C35" s="210"/>
      <c r="D35" s="210"/>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0"/>
      <c r="AH35" s="221"/>
      <c r="AI35" s="210"/>
      <c r="AJ35" s="210"/>
      <c r="AK35" s="140"/>
      <c r="AL35" s="5"/>
      <c r="AM35" s="5"/>
    </row>
    <row r="36" spans="1:43" s="1" customFormat="1" ht="5.0999999999999996" customHeight="1" x14ac:dyDescent="0.3">
      <c r="A36" s="140"/>
      <c r="B36" s="209"/>
      <c r="C36" s="210"/>
      <c r="D36" s="210"/>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0"/>
      <c r="AH36" s="210"/>
      <c r="AI36" s="210"/>
      <c r="AJ36" s="210"/>
      <c r="AK36" s="140"/>
      <c r="AL36" s="5"/>
      <c r="AM36" s="5"/>
    </row>
    <row r="37" spans="1:43" x14ac:dyDescent="0.3">
      <c r="A37" s="140"/>
      <c r="B37" s="269">
        <v>3</v>
      </c>
      <c r="C37" s="1558" t="s">
        <v>41</v>
      </c>
      <c r="D37" s="1559"/>
      <c r="E37" s="1559"/>
      <c r="F37" s="1559"/>
      <c r="G37" s="1559"/>
      <c r="H37" s="1559"/>
      <c r="I37" s="1559"/>
      <c r="J37" s="1559"/>
      <c r="K37" s="1559"/>
      <c r="L37" s="1559"/>
      <c r="M37" s="1559"/>
      <c r="N37" s="1559"/>
      <c r="O37" s="1559"/>
      <c r="P37" s="1559"/>
      <c r="Q37" s="1559"/>
      <c r="R37" s="1559"/>
      <c r="S37" s="1559"/>
      <c r="T37" s="1559"/>
      <c r="U37" s="1559"/>
      <c r="V37" s="1559"/>
      <c r="W37" s="1559"/>
      <c r="X37" s="1559"/>
      <c r="Y37" s="1559"/>
      <c r="Z37" s="1559"/>
      <c r="AA37" s="1559"/>
      <c r="AB37" s="1559"/>
      <c r="AC37" s="1559"/>
      <c r="AD37" s="1559"/>
      <c r="AE37" s="1559"/>
      <c r="AF37" s="1560"/>
      <c r="AG37" s="210"/>
      <c r="AH37" s="210"/>
      <c r="AI37" s="210"/>
      <c r="AJ37" s="210"/>
      <c r="AK37" s="140"/>
      <c r="AL37" s="2"/>
      <c r="AM37" s="2"/>
    </row>
    <row r="38" spans="1:43" x14ac:dyDescent="0.3">
      <c r="A38" s="140"/>
      <c r="B38" s="273">
        <v>3.1</v>
      </c>
      <c r="C38" s="1548" t="s">
        <v>26</v>
      </c>
      <c r="D38" s="1549"/>
      <c r="E38" s="1549"/>
      <c r="F38" s="1549"/>
      <c r="G38" s="1549"/>
      <c r="H38" s="1549"/>
      <c r="I38" s="1549"/>
      <c r="J38" s="1549"/>
      <c r="K38" s="1549"/>
      <c r="L38" s="1549"/>
      <c r="M38" s="1549"/>
      <c r="N38" s="1549"/>
      <c r="O38" s="1549"/>
      <c r="P38" s="1549"/>
      <c r="Q38" s="1549"/>
      <c r="R38" s="1549"/>
      <c r="S38" s="1549"/>
      <c r="T38" s="1549"/>
      <c r="U38" s="1549"/>
      <c r="V38" s="1549"/>
      <c r="W38" s="1549"/>
      <c r="X38" s="1549"/>
      <c r="Y38" s="1549"/>
      <c r="Z38" s="1549"/>
      <c r="AA38" s="1549"/>
      <c r="AB38" s="1549"/>
      <c r="AC38" s="1549"/>
      <c r="AD38" s="1549"/>
      <c r="AE38" s="1549"/>
      <c r="AF38" s="1550"/>
      <c r="AG38" s="207"/>
      <c r="AH38" s="216"/>
      <c r="AI38" s="207"/>
      <c r="AJ38" s="277"/>
      <c r="AK38" s="140"/>
      <c r="AL38" s="2"/>
      <c r="AM38" s="2"/>
    </row>
    <row r="39" spans="1:43" x14ac:dyDescent="0.3">
      <c r="A39" s="140"/>
      <c r="B39" s="273">
        <v>3.2</v>
      </c>
      <c r="C39" s="1548" t="s">
        <v>28</v>
      </c>
      <c r="D39" s="1549"/>
      <c r="E39" s="1549"/>
      <c r="F39" s="1549"/>
      <c r="G39" s="1549"/>
      <c r="H39" s="1549"/>
      <c r="I39" s="1549"/>
      <c r="J39" s="1549"/>
      <c r="K39" s="1549"/>
      <c r="L39" s="1549"/>
      <c r="M39" s="1549"/>
      <c r="N39" s="1549"/>
      <c r="O39" s="1549"/>
      <c r="P39" s="1549"/>
      <c r="Q39" s="1549"/>
      <c r="R39" s="1549"/>
      <c r="S39" s="1549"/>
      <c r="T39" s="1549"/>
      <c r="U39" s="1549"/>
      <c r="V39" s="1549"/>
      <c r="W39" s="1549"/>
      <c r="X39" s="1549"/>
      <c r="Y39" s="1549"/>
      <c r="Z39" s="1549"/>
      <c r="AA39" s="1549"/>
      <c r="AB39" s="1549"/>
      <c r="AC39" s="1549"/>
      <c r="AD39" s="1549"/>
      <c r="AE39" s="1549"/>
      <c r="AF39" s="1550"/>
      <c r="AG39" s="207"/>
      <c r="AH39" s="216"/>
      <c r="AI39" s="207"/>
      <c r="AJ39" s="277"/>
      <c r="AK39" s="140"/>
      <c r="AL39" s="2"/>
      <c r="AM39" s="2"/>
    </row>
    <row r="40" spans="1:43" x14ac:dyDescent="0.3">
      <c r="A40" s="140"/>
      <c r="B40" s="273">
        <v>3.3</v>
      </c>
      <c r="C40" s="1548" t="s">
        <v>27</v>
      </c>
      <c r="D40" s="1549"/>
      <c r="E40" s="1549"/>
      <c r="F40" s="1549"/>
      <c r="G40" s="1549"/>
      <c r="H40" s="1549"/>
      <c r="I40" s="1549"/>
      <c r="J40" s="1549"/>
      <c r="K40" s="1549"/>
      <c r="L40" s="1549"/>
      <c r="M40" s="1549"/>
      <c r="N40" s="1549"/>
      <c r="O40" s="1549"/>
      <c r="P40" s="1549"/>
      <c r="Q40" s="1549"/>
      <c r="R40" s="1549"/>
      <c r="S40" s="1549"/>
      <c r="T40" s="1549"/>
      <c r="U40" s="1549"/>
      <c r="V40" s="1549"/>
      <c r="W40" s="1549"/>
      <c r="X40" s="1549"/>
      <c r="Y40" s="1549"/>
      <c r="Z40" s="1549"/>
      <c r="AA40" s="1549"/>
      <c r="AB40" s="1549"/>
      <c r="AC40" s="1549"/>
      <c r="AD40" s="1549"/>
      <c r="AE40" s="1549"/>
      <c r="AF40" s="1550"/>
      <c r="AG40" s="207"/>
      <c r="AH40" s="216"/>
      <c r="AI40" s="207"/>
      <c r="AJ40" s="277"/>
      <c r="AK40" s="140"/>
      <c r="AL40" s="2"/>
      <c r="AM40" s="2"/>
    </row>
    <row r="41" spans="1:43" s="1" customFormat="1" ht="3.9" customHeight="1" x14ac:dyDescent="0.3">
      <c r="A41" s="140"/>
      <c r="B41" s="209"/>
      <c r="C41" s="210"/>
      <c r="D41" s="210"/>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0"/>
      <c r="AH41" s="210"/>
      <c r="AI41" s="210"/>
      <c r="AJ41" s="210"/>
      <c r="AK41" s="140"/>
      <c r="AL41" s="5"/>
      <c r="AM41" s="5"/>
    </row>
    <row r="42" spans="1:43" ht="30.9" customHeight="1" x14ac:dyDescent="0.3">
      <c r="A42" s="140"/>
      <c r="B42" s="269">
        <v>4</v>
      </c>
      <c r="C42" s="1554" t="s">
        <v>480</v>
      </c>
      <c r="D42" s="1555"/>
      <c r="E42" s="1555"/>
      <c r="F42" s="1555"/>
      <c r="G42" s="1555"/>
      <c r="H42" s="1555"/>
      <c r="I42" s="1555"/>
      <c r="J42" s="1555"/>
      <c r="K42" s="1555"/>
      <c r="L42" s="1555"/>
      <c r="M42" s="1555"/>
      <c r="N42" s="1555"/>
      <c r="O42" s="1555"/>
      <c r="P42" s="1555"/>
      <c r="Q42" s="1555"/>
      <c r="R42" s="1555"/>
      <c r="S42" s="1555"/>
      <c r="T42" s="1555"/>
      <c r="U42" s="1555"/>
      <c r="V42" s="1555"/>
      <c r="W42" s="1555"/>
      <c r="X42" s="1555"/>
      <c r="Y42" s="1555"/>
      <c r="Z42" s="1555"/>
      <c r="AA42" s="1555"/>
      <c r="AB42" s="1555"/>
      <c r="AC42" s="1555"/>
      <c r="AD42" s="1555"/>
      <c r="AE42" s="1555"/>
      <c r="AF42" s="1556"/>
      <c r="AG42" s="222"/>
      <c r="AH42" s="213"/>
      <c r="AI42" s="207"/>
      <c r="AJ42" s="277"/>
      <c r="AK42" s="140"/>
      <c r="AL42" s="2"/>
      <c r="AM42" s="2"/>
    </row>
    <row r="43" spans="1:43" s="1" customFormat="1" ht="3" customHeight="1" x14ac:dyDescent="0.3">
      <c r="A43" s="140"/>
      <c r="B43" s="209"/>
      <c r="C43" s="210"/>
      <c r="D43" s="210"/>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0"/>
      <c r="AH43" s="210"/>
      <c r="AI43" s="210"/>
      <c r="AJ43" s="210"/>
      <c r="AK43" s="140"/>
      <c r="AL43" s="5"/>
      <c r="AM43" s="5"/>
    </row>
    <row r="44" spans="1:43" ht="27.9" customHeight="1" x14ac:dyDescent="0.3">
      <c r="A44" s="140"/>
      <c r="B44" s="274">
        <v>5</v>
      </c>
      <c r="C44" s="1557" t="s">
        <v>437</v>
      </c>
      <c r="D44" s="1557"/>
      <c r="E44" s="1557"/>
      <c r="F44" s="1557"/>
      <c r="G44" s="1557"/>
      <c r="H44" s="1557"/>
      <c r="I44" s="1557"/>
      <c r="J44" s="1557"/>
      <c r="K44" s="1557"/>
      <c r="L44" s="1557"/>
      <c r="M44" s="1557"/>
      <c r="N44" s="1557"/>
      <c r="O44" s="1557"/>
      <c r="P44" s="1557"/>
      <c r="Q44" s="1557"/>
      <c r="R44" s="1557"/>
      <c r="S44" s="1557"/>
      <c r="T44" s="1557"/>
      <c r="U44" s="1557"/>
      <c r="V44" s="1557"/>
      <c r="W44" s="1557"/>
      <c r="X44" s="1557"/>
      <c r="Y44" s="1557"/>
      <c r="Z44" s="1557"/>
      <c r="AA44" s="1557"/>
      <c r="AB44" s="1557"/>
      <c r="AC44" s="1557"/>
      <c r="AD44" s="1557"/>
      <c r="AE44" s="1557"/>
      <c r="AF44" s="1557"/>
      <c r="AG44" s="222"/>
      <c r="AH44" s="213"/>
      <c r="AI44" s="207"/>
      <c r="AJ44" s="277"/>
      <c r="AK44" s="140"/>
      <c r="AL44" s="2"/>
      <c r="AM44" s="2"/>
    </row>
    <row r="45" spans="1:43" ht="3" customHeight="1" x14ac:dyDescent="0.3">
      <c r="A45" s="140"/>
      <c r="B45" s="223"/>
      <c r="C45" s="210"/>
      <c r="D45" s="210"/>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4"/>
      <c r="AH45" s="214"/>
      <c r="AI45" s="214"/>
      <c r="AJ45" s="214"/>
      <c r="AK45" s="140"/>
      <c r="AL45" s="2"/>
      <c r="AM45" s="2"/>
    </row>
    <row r="46" spans="1:43" ht="27.9" customHeight="1" x14ac:dyDescent="0.3">
      <c r="A46" s="140"/>
      <c r="B46" s="274">
        <v>6</v>
      </c>
      <c r="C46" s="1557" t="s">
        <v>53</v>
      </c>
      <c r="D46" s="1557"/>
      <c r="E46" s="1557"/>
      <c r="F46" s="1557"/>
      <c r="G46" s="1557"/>
      <c r="H46" s="1557"/>
      <c r="I46" s="1557"/>
      <c r="J46" s="1557"/>
      <c r="K46" s="1557"/>
      <c r="L46" s="1557"/>
      <c r="M46" s="1557"/>
      <c r="N46" s="1557"/>
      <c r="O46" s="1557"/>
      <c r="P46" s="1557"/>
      <c r="Q46" s="1557"/>
      <c r="R46" s="1557"/>
      <c r="S46" s="1557"/>
      <c r="T46" s="1557"/>
      <c r="U46" s="1557"/>
      <c r="V46" s="1557"/>
      <c r="W46" s="1557"/>
      <c r="X46" s="1557"/>
      <c r="Y46" s="1557"/>
      <c r="Z46" s="1557"/>
      <c r="AA46" s="1557"/>
      <c r="AB46" s="1557"/>
      <c r="AC46" s="1557"/>
      <c r="AD46" s="1557"/>
      <c r="AE46" s="1557"/>
      <c r="AF46" s="1557"/>
      <c r="AG46" s="222"/>
      <c r="AH46" s="213"/>
      <c r="AI46" s="207"/>
      <c r="AJ46" s="277"/>
      <c r="AK46" s="140"/>
      <c r="AL46" s="2"/>
      <c r="AM46" s="2"/>
    </row>
    <row r="47" spans="1:43" s="1" customFormat="1" ht="3" customHeight="1" x14ac:dyDescent="0.3">
      <c r="A47" s="140"/>
      <c r="B47" s="209"/>
      <c r="C47" s="210"/>
      <c r="D47" s="210"/>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0"/>
      <c r="AH47" s="210"/>
      <c r="AI47" s="210"/>
      <c r="AJ47" s="210"/>
      <c r="AK47" s="140"/>
      <c r="AL47" s="5"/>
      <c r="AM47" s="5"/>
    </row>
    <row r="48" spans="1:43" ht="33.9" customHeight="1" x14ac:dyDescent="0.3">
      <c r="A48" s="140"/>
      <c r="B48" s="269">
        <v>7</v>
      </c>
      <c r="C48" s="1554" t="s">
        <v>49</v>
      </c>
      <c r="D48" s="1555"/>
      <c r="E48" s="1555"/>
      <c r="F48" s="1555"/>
      <c r="G48" s="1555"/>
      <c r="H48" s="1555"/>
      <c r="I48" s="1555"/>
      <c r="J48" s="1555"/>
      <c r="K48" s="1555"/>
      <c r="L48" s="1555"/>
      <c r="M48" s="1555"/>
      <c r="N48" s="1555"/>
      <c r="O48" s="1555"/>
      <c r="P48" s="1555"/>
      <c r="Q48" s="1555"/>
      <c r="R48" s="1555"/>
      <c r="S48" s="1555"/>
      <c r="T48" s="1555"/>
      <c r="U48" s="1555"/>
      <c r="V48" s="1555"/>
      <c r="W48" s="1555"/>
      <c r="X48" s="1555"/>
      <c r="Y48" s="1555"/>
      <c r="Z48" s="1555"/>
      <c r="AA48" s="1555"/>
      <c r="AB48" s="1555"/>
      <c r="AC48" s="1555"/>
      <c r="AD48" s="1555"/>
      <c r="AE48" s="1555"/>
      <c r="AF48" s="1556"/>
      <c r="AG48" s="207"/>
      <c r="AH48" s="207"/>
      <c r="AI48" s="216"/>
      <c r="AJ48" s="277"/>
      <c r="AK48" s="140"/>
      <c r="AL48" s="2"/>
      <c r="AM48" s="2"/>
    </row>
    <row r="49" spans="1:39" ht="7.5" customHeight="1" x14ac:dyDescent="0.3">
      <c r="A49" s="140"/>
      <c r="B49" s="200"/>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2"/>
      <c r="AH49" s="202"/>
      <c r="AI49" s="202"/>
      <c r="AJ49" s="23"/>
      <c r="AK49" s="140"/>
      <c r="AL49" s="2"/>
      <c r="AM49" s="2"/>
    </row>
    <row r="50" spans="1:39" x14ac:dyDescent="0.3">
      <c r="A50" s="140"/>
      <c r="B50" s="271">
        <v>8</v>
      </c>
      <c r="C50" s="1586" t="s">
        <v>78</v>
      </c>
      <c r="D50" s="1587"/>
      <c r="E50" s="1587"/>
      <c r="F50" s="1587"/>
      <c r="G50" s="1587"/>
      <c r="H50" s="1587"/>
      <c r="I50" s="1587"/>
      <c r="J50" s="1587"/>
      <c r="K50" s="1587"/>
      <c r="L50" s="1587"/>
      <c r="M50" s="1587"/>
      <c r="N50" s="1587"/>
      <c r="O50" s="1587"/>
      <c r="P50" s="1587"/>
      <c r="Q50" s="1587"/>
      <c r="R50" s="1587"/>
      <c r="S50" s="1587"/>
      <c r="T50" s="1587"/>
      <c r="U50" s="1587"/>
      <c r="V50" s="1587"/>
      <c r="W50" s="1587"/>
      <c r="X50" s="1587"/>
      <c r="Y50" s="1587"/>
      <c r="Z50" s="1587"/>
      <c r="AA50" s="1587"/>
      <c r="AB50" s="1587"/>
      <c r="AC50" s="1587"/>
      <c r="AD50" s="1587"/>
      <c r="AE50" s="1587"/>
      <c r="AF50" s="1587"/>
      <c r="AG50" s="1587"/>
      <c r="AH50" s="1587"/>
      <c r="AI50" s="1587"/>
      <c r="AJ50" s="1587"/>
      <c r="AK50" s="140"/>
    </row>
    <row r="51" spans="1:39" x14ac:dyDescent="0.3">
      <c r="A51" s="140"/>
      <c r="B51" s="272">
        <v>8.1</v>
      </c>
      <c r="C51" s="1576" t="s">
        <v>67</v>
      </c>
      <c r="D51" s="1577"/>
      <c r="E51" s="1577"/>
      <c r="F51" s="1577"/>
      <c r="G51" s="1577"/>
      <c r="H51" s="1577"/>
      <c r="I51" s="1577"/>
      <c r="J51" s="1577"/>
      <c r="K51" s="1577"/>
      <c r="L51" s="1577"/>
      <c r="M51" s="1577"/>
      <c r="N51" s="1577"/>
      <c r="O51" s="1577"/>
      <c r="P51" s="1577"/>
      <c r="Q51" s="1577"/>
      <c r="R51" s="1577"/>
      <c r="S51" s="1577"/>
      <c r="T51" s="1577"/>
      <c r="U51" s="1577"/>
      <c r="V51" s="1577"/>
      <c r="W51" s="1577"/>
      <c r="X51" s="1577"/>
      <c r="Y51" s="1577"/>
      <c r="Z51" s="1577"/>
      <c r="AA51" s="1577"/>
      <c r="AB51" s="1577"/>
      <c r="AC51" s="1577"/>
      <c r="AD51" s="1577"/>
      <c r="AE51" s="1577"/>
      <c r="AF51" s="1578"/>
      <c r="AG51" s="207"/>
      <c r="AH51" s="213"/>
      <c r="AI51" s="207"/>
      <c r="AJ51" s="278"/>
      <c r="AK51" s="140"/>
    </row>
    <row r="52" spans="1:39" x14ac:dyDescent="0.3">
      <c r="A52" s="140"/>
      <c r="B52" s="275">
        <v>8.1999999999999993</v>
      </c>
      <c r="C52" s="1592" t="s">
        <v>479</v>
      </c>
      <c r="D52" s="1593"/>
      <c r="E52" s="1593"/>
      <c r="F52" s="1593"/>
      <c r="G52" s="1593"/>
      <c r="H52" s="1593"/>
      <c r="I52" s="1593"/>
      <c r="J52" s="1593"/>
      <c r="K52" s="1593"/>
      <c r="L52" s="1593"/>
      <c r="M52" s="1593"/>
      <c r="N52" s="1593"/>
      <c r="O52" s="1593"/>
      <c r="P52" s="1593"/>
      <c r="Q52" s="1593"/>
      <c r="R52" s="1593"/>
      <c r="S52" s="1593"/>
      <c r="T52" s="1593"/>
      <c r="U52" s="1593"/>
      <c r="V52" s="1593"/>
      <c r="W52" s="1593"/>
      <c r="X52" s="1593"/>
      <c r="Y52" s="1593"/>
      <c r="Z52" s="1593"/>
      <c r="AA52" s="1593"/>
      <c r="AB52" s="1593"/>
      <c r="AC52" s="1593"/>
      <c r="AD52" s="1593"/>
      <c r="AE52" s="1593"/>
      <c r="AF52" s="1593"/>
      <c r="AG52" s="210"/>
      <c r="AH52" s="210"/>
      <c r="AI52" s="210"/>
      <c r="AJ52" s="214"/>
      <c r="AK52" s="140"/>
    </row>
    <row r="53" spans="1:39" x14ac:dyDescent="0.3">
      <c r="A53" s="140"/>
      <c r="B53" s="276"/>
      <c r="C53" s="212" t="s">
        <v>33</v>
      </c>
      <c r="D53" s="1573" t="s">
        <v>68</v>
      </c>
      <c r="E53" s="1574"/>
      <c r="F53" s="1574"/>
      <c r="G53" s="1574"/>
      <c r="H53" s="1574"/>
      <c r="I53" s="1574"/>
      <c r="J53" s="1574"/>
      <c r="K53" s="1574"/>
      <c r="L53" s="1574"/>
      <c r="M53" s="1574"/>
      <c r="N53" s="1574"/>
      <c r="O53" s="1574"/>
      <c r="P53" s="1574"/>
      <c r="Q53" s="1574"/>
      <c r="R53" s="1574"/>
      <c r="S53" s="1574"/>
      <c r="T53" s="1574"/>
      <c r="U53" s="1574"/>
      <c r="V53" s="1574"/>
      <c r="W53" s="1574"/>
      <c r="X53" s="1574"/>
      <c r="Y53" s="1574"/>
      <c r="Z53" s="1574"/>
      <c r="AA53" s="1574"/>
      <c r="AB53" s="1574"/>
      <c r="AC53" s="1574"/>
      <c r="AD53" s="1574"/>
      <c r="AE53" s="1574"/>
      <c r="AF53" s="1575"/>
      <c r="AG53" s="207"/>
      <c r="AH53" s="213"/>
      <c r="AI53" s="207"/>
      <c r="AJ53" s="277"/>
      <c r="AK53" s="140"/>
    </row>
    <row r="54" spans="1:39" x14ac:dyDescent="0.3">
      <c r="A54" s="140"/>
      <c r="B54" s="276"/>
      <c r="C54" s="212" t="s">
        <v>34</v>
      </c>
      <c r="D54" s="1573" t="s">
        <v>72</v>
      </c>
      <c r="E54" s="1574"/>
      <c r="F54" s="1574"/>
      <c r="G54" s="1574"/>
      <c r="H54" s="1574"/>
      <c r="I54" s="1574"/>
      <c r="J54" s="1574"/>
      <c r="K54" s="1574"/>
      <c r="L54" s="1574"/>
      <c r="M54" s="1574"/>
      <c r="N54" s="1574"/>
      <c r="O54" s="1574"/>
      <c r="P54" s="1574"/>
      <c r="Q54" s="1574"/>
      <c r="R54" s="1574"/>
      <c r="S54" s="1574"/>
      <c r="T54" s="1574"/>
      <c r="U54" s="1574"/>
      <c r="V54" s="1574"/>
      <c r="W54" s="1574"/>
      <c r="X54" s="1574"/>
      <c r="Y54" s="1574"/>
      <c r="Z54" s="1574"/>
      <c r="AA54" s="1574"/>
      <c r="AB54" s="1574"/>
      <c r="AC54" s="1574"/>
      <c r="AD54" s="1574"/>
      <c r="AE54" s="1574"/>
      <c r="AF54" s="1575"/>
      <c r="AG54" s="207"/>
      <c r="AH54" s="213"/>
      <c r="AI54" s="207"/>
      <c r="AJ54" s="277"/>
      <c r="AK54" s="140"/>
    </row>
    <row r="55" spans="1:39" x14ac:dyDescent="0.3">
      <c r="A55" s="140"/>
      <c r="B55" s="224"/>
      <c r="C55" s="212" t="s">
        <v>35</v>
      </c>
      <c r="D55" s="1589" t="s">
        <v>69</v>
      </c>
      <c r="E55" s="1590"/>
      <c r="F55" s="1590"/>
      <c r="G55" s="1590"/>
      <c r="H55" s="1590"/>
      <c r="I55" s="1590"/>
      <c r="J55" s="1590"/>
      <c r="K55" s="1590"/>
      <c r="L55" s="1590"/>
      <c r="M55" s="1590"/>
      <c r="N55" s="1590"/>
      <c r="O55" s="1590"/>
      <c r="P55" s="1590"/>
      <c r="Q55" s="1591"/>
      <c r="R55" s="1525"/>
      <c r="S55" s="1525"/>
      <c r="T55" s="1525"/>
      <c r="U55" s="1525"/>
      <c r="V55" s="1525"/>
      <c r="W55" s="1525"/>
      <c r="X55" s="1525"/>
      <c r="Y55" s="1525"/>
      <c r="Z55" s="1525"/>
      <c r="AA55" s="1525"/>
      <c r="AB55" s="1525"/>
      <c r="AC55" s="1525"/>
      <c r="AD55" s="1525"/>
      <c r="AE55" s="1525"/>
      <c r="AF55" s="1525"/>
      <c r="AG55" s="225"/>
      <c r="AH55" s="213"/>
      <c r="AI55" s="225"/>
      <c r="AJ55" s="279"/>
      <c r="AK55" s="140"/>
    </row>
    <row r="56" spans="1:39" x14ac:dyDescent="0.3">
      <c r="A56" s="140"/>
      <c r="B56" s="224"/>
      <c r="C56" s="212" t="s">
        <v>36</v>
      </c>
      <c r="D56" s="1589" t="s">
        <v>70</v>
      </c>
      <c r="E56" s="1590"/>
      <c r="F56" s="1590"/>
      <c r="G56" s="1590"/>
      <c r="H56" s="1590"/>
      <c r="I56" s="1590"/>
      <c r="J56" s="1590"/>
      <c r="K56" s="1590"/>
      <c r="L56" s="1590"/>
      <c r="M56" s="1590"/>
      <c r="N56" s="1590"/>
      <c r="O56" s="1590"/>
      <c r="P56" s="1590"/>
      <c r="Q56" s="1591"/>
      <c r="R56" s="1525"/>
      <c r="S56" s="1525"/>
      <c r="T56" s="1525"/>
      <c r="U56" s="1525"/>
      <c r="V56" s="1525"/>
      <c r="W56" s="1525"/>
      <c r="X56" s="1525"/>
      <c r="Y56" s="1525"/>
      <c r="Z56" s="1525"/>
      <c r="AA56" s="1525"/>
      <c r="AB56" s="1525"/>
      <c r="AC56" s="1525"/>
      <c r="AD56" s="1525"/>
      <c r="AE56" s="1525"/>
      <c r="AF56" s="1525"/>
      <c r="AG56" s="225"/>
      <c r="AH56" s="213"/>
      <c r="AI56" s="225"/>
      <c r="AJ56" s="279"/>
      <c r="AK56" s="140"/>
    </row>
    <row r="57" spans="1:39" x14ac:dyDescent="0.3">
      <c r="A57" s="140"/>
      <c r="B57" s="224"/>
      <c r="C57" s="212" t="s">
        <v>84</v>
      </c>
      <c r="D57" s="1589" t="s">
        <v>79</v>
      </c>
      <c r="E57" s="1590"/>
      <c r="F57" s="1590"/>
      <c r="G57" s="1590"/>
      <c r="H57" s="1590"/>
      <c r="I57" s="1590"/>
      <c r="J57" s="1590"/>
      <c r="K57" s="1590"/>
      <c r="L57" s="1590"/>
      <c r="M57" s="1590"/>
      <c r="N57" s="1590"/>
      <c r="O57" s="1590"/>
      <c r="P57" s="1590"/>
      <c r="Q57" s="1591"/>
      <c r="R57" s="1525"/>
      <c r="S57" s="1525"/>
      <c r="T57" s="1525"/>
      <c r="U57" s="1525"/>
      <c r="V57" s="1525"/>
      <c r="W57" s="1525"/>
      <c r="X57" s="1525"/>
      <c r="Y57" s="1525"/>
      <c r="Z57" s="1525"/>
      <c r="AA57" s="1525"/>
      <c r="AB57" s="1525"/>
      <c r="AC57" s="1525"/>
      <c r="AD57" s="1525"/>
      <c r="AE57" s="1525"/>
      <c r="AF57" s="1525"/>
      <c r="AG57" s="225"/>
      <c r="AH57" s="213"/>
      <c r="AI57" s="206"/>
      <c r="AJ57" s="279"/>
      <c r="AK57" s="140"/>
    </row>
    <row r="58" spans="1:39" x14ac:dyDescent="0.3">
      <c r="A58" s="140"/>
      <c r="B58" s="224"/>
      <c r="C58" s="212" t="s">
        <v>85</v>
      </c>
      <c r="D58" s="1589" t="s">
        <v>80</v>
      </c>
      <c r="E58" s="1590"/>
      <c r="F58" s="1590"/>
      <c r="G58" s="1590"/>
      <c r="H58" s="1590"/>
      <c r="I58" s="1590"/>
      <c r="J58" s="1590"/>
      <c r="K58" s="1590"/>
      <c r="L58" s="1590"/>
      <c r="M58" s="1590"/>
      <c r="N58" s="1590"/>
      <c r="O58" s="1590"/>
      <c r="P58" s="1590"/>
      <c r="Q58" s="1591"/>
      <c r="R58" s="1525"/>
      <c r="S58" s="1525"/>
      <c r="T58" s="1525"/>
      <c r="U58" s="1525"/>
      <c r="V58" s="1525"/>
      <c r="W58" s="1525"/>
      <c r="X58" s="1525"/>
      <c r="Y58" s="1525"/>
      <c r="Z58" s="1525"/>
      <c r="AA58" s="1525"/>
      <c r="AB58" s="1525"/>
      <c r="AC58" s="1525"/>
      <c r="AD58" s="1525"/>
      <c r="AE58" s="1525"/>
      <c r="AF58" s="1525"/>
      <c r="AG58" s="225"/>
      <c r="AH58" s="213"/>
      <c r="AI58" s="206"/>
      <c r="AJ58" s="279"/>
      <c r="AK58" s="140"/>
    </row>
    <row r="59" spans="1:39" x14ac:dyDescent="0.3">
      <c r="A59" s="140"/>
      <c r="B59" s="224"/>
      <c r="C59" s="212" t="s">
        <v>86</v>
      </c>
      <c r="D59" s="1589" t="s">
        <v>71</v>
      </c>
      <c r="E59" s="1590"/>
      <c r="F59" s="1590"/>
      <c r="G59" s="1590"/>
      <c r="H59" s="1590"/>
      <c r="I59" s="1590"/>
      <c r="J59" s="1590"/>
      <c r="K59" s="1590"/>
      <c r="L59" s="1590"/>
      <c r="M59" s="1590"/>
      <c r="N59" s="1590"/>
      <c r="O59" s="1590"/>
      <c r="P59" s="1590"/>
      <c r="Q59" s="1591"/>
      <c r="R59" s="1525"/>
      <c r="S59" s="1525"/>
      <c r="T59" s="1525"/>
      <c r="U59" s="1525"/>
      <c r="V59" s="1525"/>
      <c r="W59" s="1525"/>
      <c r="X59" s="1525"/>
      <c r="Y59" s="1525"/>
      <c r="Z59" s="1525"/>
      <c r="AA59" s="1525"/>
      <c r="AB59" s="1525"/>
      <c r="AC59" s="1525"/>
      <c r="AD59" s="1525"/>
      <c r="AE59" s="1525"/>
      <c r="AF59" s="1525"/>
      <c r="AG59" s="225"/>
      <c r="AH59" s="213"/>
      <c r="AI59" s="225"/>
      <c r="AJ59" s="279"/>
      <c r="AK59" s="140"/>
    </row>
    <row r="60" spans="1:39" x14ac:dyDescent="0.3">
      <c r="A60" s="140"/>
      <c r="B60" s="9"/>
      <c r="C60" s="5"/>
      <c r="D60" s="5"/>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5"/>
      <c r="AH60" s="5"/>
      <c r="AI60" s="5"/>
      <c r="AJ60" s="5"/>
      <c r="AK60" s="140"/>
    </row>
    <row r="61" spans="1:39" ht="16.2" thickBot="1" x14ac:dyDescent="0.35">
      <c r="A61" s="140"/>
      <c r="B61" s="33"/>
      <c r="C61" s="5"/>
      <c r="D61" s="5"/>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5"/>
      <c r="AH61" s="5"/>
      <c r="AI61" s="5"/>
      <c r="AJ61" s="5"/>
      <c r="AK61" s="140"/>
    </row>
    <row r="62" spans="1:39" ht="16.2" thickBot="1" x14ac:dyDescent="0.35">
      <c r="A62" s="1605"/>
      <c r="B62" s="1606"/>
      <c r="C62" s="1606"/>
      <c r="D62" s="1606"/>
      <c r="E62" s="1606"/>
      <c r="F62" s="1606"/>
      <c r="G62" s="1606"/>
      <c r="H62" s="1606"/>
      <c r="I62" s="1606"/>
      <c r="J62" s="1606"/>
      <c r="K62" s="1606"/>
      <c r="L62" s="1606"/>
      <c r="M62" s="1606"/>
      <c r="N62" s="1606"/>
      <c r="O62" s="1606"/>
      <c r="P62" s="1606"/>
      <c r="Q62" s="1606"/>
      <c r="R62" s="1606"/>
      <c r="S62" s="1606"/>
      <c r="T62" s="1606"/>
      <c r="U62" s="1606"/>
      <c r="V62" s="1606"/>
      <c r="W62" s="1606"/>
      <c r="X62" s="1606"/>
      <c r="Y62" s="1606"/>
      <c r="Z62" s="1606"/>
      <c r="AA62" s="1606"/>
      <c r="AB62" s="1606"/>
      <c r="AC62" s="1606"/>
      <c r="AD62" s="1606"/>
      <c r="AE62" s="1606"/>
      <c r="AF62" s="1606"/>
      <c r="AG62" s="1606"/>
      <c r="AH62" s="1606"/>
      <c r="AI62" s="1606"/>
      <c r="AJ62" s="1606"/>
      <c r="AK62" s="1607"/>
    </row>
  </sheetData>
  <mergeCells count="109">
    <mergeCell ref="R56:AF56"/>
    <mergeCell ref="R59:AF59"/>
    <mergeCell ref="D59:Q59"/>
    <mergeCell ref="A62:AK62"/>
    <mergeCell ref="B19:B21"/>
    <mergeCell ref="C19:AF19"/>
    <mergeCell ref="D20:AF20"/>
    <mergeCell ref="D21:AF21"/>
    <mergeCell ref="AA26:AC26"/>
    <mergeCell ref="AA27:AC27"/>
    <mergeCell ref="AA28:AC28"/>
    <mergeCell ref="U31:W31"/>
    <mergeCell ref="U32:W32"/>
    <mergeCell ref="D30:Q30"/>
    <mergeCell ref="D31:Q31"/>
    <mergeCell ref="D32:Q32"/>
    <mergeCell ref="D33:Q33"/>
    <mergeCell ref="AD26:AE26"/>
    <mergeCell ref="AD27:AE27"/>
    <mergeCell ref="AD28:AE28"/>
    <mergeCell ref="AD29:AE29"/>
    <mergeCell ref="AA30:AC30"/>
    <mergeCell ref="AA31:AC31"/>
    <mergeCell ref="AA32:AC32"/>
    <mergeCell ref="C17:AJ17"/>
    <mergeCell ref="B2:AJ2"/>
    <mergeCell ref="R57:AF57"/>
    <mergeCell ref="R58:AF58"/>
    <mergeCell ref="D55:Q55"/>
    <mergeCell ref="D56:Q56"/>
    <mergeCell ref="D57:Q57"/>
    <mergeCell ref="D58:Q58"/>
    <mergeCell ref="C50:AJ50"/>
    <mergeCell ref="C51:AF51"/>
    <mergeCell ref="C52:AF52"/>
    <mergeCell ref="D53:AF53"/>
    <mergeCell ref="D54:AF54"/>
    <mergeCell ref="C7:AJ7"/>
    <mergeCell ref="C10:AJ10"/>
    <mergeCell ref="C9:AF9"/>
    <mergeCell ref="C13:Q13"/>
    <mergeCell ref="R13:AF13"/>
    <mergeCell ref="R55:AF55"/>
    <mergeCell ref="X32:Z32"/>
    <mergeCell ref="X26:Z26"/>
    <mergeCell ref="X27:Z27"/>
    <mergeCell ref="X28:Z28"/>
    <mergeCell ref="X29:Z29"/>
    <mergeCell ref="C11:Q11"/>
    <mergeCell ref="R11:AF11"/>
    <mergeCell ref="R12:AF12"/>
    <mergeCell ref="C12:Q12"/>
    <mergeCell ref="AF32:AG32"/>
    <mergeCell ref="C23:AF23"/>
    <mergeCell ref="U33:W33"/>
    <mergeCell ref="X33:Z33"/>
    <mergeCell ref="C14:AF14"/>
    <mergeCell ref="C15:AF15"/>
    <mergeCell ref="C18:AF18"/>
    <mergeCell ref="C24:AF24"/>
    <mergeCell ref="R26:T26"/>
    <mergeCell ref="R27:T27"/>
    <mergeCell ref="R28:T28"/>
    <mergeCell ref="U26:W26"/>
    <mergeCell ref="U27:W27"/>
    <mergeCell ref="U28:W28"/>
    <mergeCell ref="C22:AF22"/>
    <mergeCell ref="AF26:AG26"/>
    <mergeCell ref="AF27:AG27"/>
    <mergeCell ref="AF28:AG28"/>
    <mergeCell ref="AF29:AG29"/>
    <mergeCell ref="AF30:AG30"/>
    <mergeCell ref="AA33:AC33"/>
    <mergeCell ref="AD30:AE30"/>
    <mergeCell ref="AD31:AE31"/>
    <mergeCell ref="AD32:AE32"/>
    <mergeCell ref="R33:T33"/>
    <mergeCell ref="U29:W29"/>
    <mergeCell ref="U30:W30"/>
    <mergeCell ref="R29:T29"/>
    <mergeCell ref="R30:T30"/>
    <mergeCell ref="R31:T31"/>
    <mergeCell ref="R32:T32"/>
    <mergeCell ref="X30:Z30"/>
    <mergeCell ref="X31:Z31"/>
    <mergeCell ref="C38:AF38"/>
    <mergeCell ref="C25:AF25"/>
    <mergeCell ref="AA29:AC29"/>
    <mergeCell ref="C42:AF42"/>
    <mergeCell ref="C48:AF48"/>
    <mergeCell ref="C44:AF44"/>
    <mergeCell ref="C46:AF46"/>
    <mergeCell ref="C40:AF40"/>
    <mergeCell ref="C39:AF39"/>
    <mergeCell ref="C37:AF37"/>
    <mergeCell ref="AA34:AC34"/>
    <mergeCell ref="AD33:AE33"/>
    <mergeCell ref="U34:W34"/>
    <mergeCell ref="X34:Z34"/>
    <mergeCell ref="D34:Q34"/>
    <mergeCell ref="AD34:AE34"/>
    <mergeCell ref="AF34:AG34"/>
    <mergeCell ref="AF33:AG33"/>
    <mergeCell ref="R34:T34"/>
    <mergeCell ref="AF31:AG31"/>
    <mergeCell ref="C26:Q26"/>
    <mergeCell ref="D27:Q27"/>
    <mergeCell ref="D28:Q28"/>
    <mergeCell ref="D29:Q29"/>
  </mergeCells>
  <phoneticPr fontId="5" type="noConversion"/>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S67"/>
  <sheetViews>
    <sheetView topLeftCell="A14" zoomScaleNormal="100" zoomScalePageLayoutView="125" workbookViewId="0">
      <selection activeCell="B14" sqref="B14:R15"/>
    </sheetView>
  </sheetViews>
  <sheetFormatPr defaultColWidth="11" defaultRowHeight="15.6" x14ac:dyDescent="0.3"/>
  <cols>
    <col min="1" max="1" width="1.8984375" customWidth="1"/>
    <col min="2" max="18" width="9.5" customWidth="1"/>
    <col min="19" max="19" width="1.8984375" customWidth="1"/>
  </cols>
  <sheetData>
    <row r="1" spans="1:19" ht="14.25" customHeight="1" thickBot="1" x14ac:dyDescent="0.35">
      <c r="A1" s="58"/>
      <c r="B1" s="58"/>
      <c r="C1" s="59"/>
      <c r="D1" s="59"/>
      <c r="E1" s="59"/>
      <c r="F1" s="59"/>
      <c r="G1" s="59"/>
      <c r="H1" s="59"/>
      <c r="I1" s="59"/>
      <c r="J1" s="59"/>
      <c r="K1" s="59"/>
      <c r="L1" s="59"/>
      <c r="M1" s="60"/>
      <c r="N1" s="59"/>
      <c r="O1" s="59"/>
      <c r="P1" s="59"/>
      <c r="Q1" s="59"/>
      <c r="R1" s="59"/>
      <c r="S1" s="60"/>
    </row>
    <row r="2" spans="1:19" s="1" customFormat="1" x14ac:dyDescent="0.3">
      <c r="A2" s="58"/>
      <c r="S2" s="62"/>
    </row>
    <row r="3" spans="1:19" ht="96" customHeight="1" x14ac:dyDescent="0.6">
      <c r="A3" s="140"/>
      <c r="B3" s="12"/>
      <c r="C3" s="2"/>
      <c r="D3" s="2"/>
      <c r="F3" s="1624" t="s">
        <v>1929</v>
      </c>
      <c r="G3" s="1624"/>
      <c r="H3" s="1624"/>
      <c r="I3" s="1624"/>
      <c r="J3" s="1624"/>
      <c r="K3" s="1624"/>
      <c r="L3" s="1624"/>
      <c r="M3" s="1624"/>
      <c r="N3" s="1624"/>
      <c r="O3" s="1624"/>
      <c r="P3" s="1624"/>
      <c r="Q3" s="1624"/>
      <c r="R3" s="1624"/>
      <c r="S3" s="62"/>
    </row>
    <row r="4" spans="1:19" hidden="1" x14ac:dyDescent="0.3">
      <c r="A4" s="61"/>
      <c r="B4" s="3"/>
      <c r="C4" s="2"/>
      <c r="D4" s="2"/>
      <c r="E4" s="10"/>
      <c r="F4" s="6"/>
      <c r="G4" s="5"/>
      <c r="H4" s="5"/>
      <c r="I4" s="5"/>
      <c r="J4" s="5"/>
      <c r="K4" s="5"/>
      <c r="L4" s="5"/>
      <c r="M4" s="5"/>
      <c r="N4" s="5"/>
      <c r="O4" s="5"/>
      <c r="P4" s="5"/>
      <c r="Q4" s="5"/>
      <c r="R4" s="5"/>
      <c r="S4" s="62"/>
    </row>
    <row r="5" spans="1:19" s="2" customFormat="1" ht="15" customHeight="1" x14ac:dyDescent="0.3">
      <c r="A5" s="61"/>
      <c r="B5" s="226" t="s">
        <v>6</v>
      </c>
      <c r="C5" s="1523" t="s">
        <v>5</v>
      </c>
      <c r="D5" s="1523"/>
      <c r="E5" s="1523"/>
      <c r="F5" s="1523"/>
      <c r="G5" s="1523"/>
      <c r="H5" s="1523"/>
      <c r="I5" s="1523"/>
      <c r="J5" s="1523"/>
      <c r="K5" s="1523"/>
      <c r="L5" s="1523"/>
      <c r="M5" s="1523"/>
      <c r="N5" s="1523"/>
      <c r="O5" s="1523"/>
      <c r="P5" s="1626" t="s">
        <v>39</v>
      </c>
      <c r="Q5" s="1626"/>
      <c r="R5" s="1626"/>
      <c r="S5" s="62"/>
    </row>
    <row r="6" spans="1:19" s="2" customFormat="1" ht="15" customHeight="1" x14ac:dyDescent="0.3">
      <c r="A6" s="61"/>
      <c r="B6" s="205">
        <v>1</v>
      </c>
      <c r="C6" s="1623" t="s">
        <v>83</v>
      </c>
      <c r="D6" s="1623"/>
      <c r="E6" s="1623"/>
      <c r="F6" s="1623"/>
      <c r="G6" s="1623"/>
      <c r="H6" s="1623"/>
      <c r="I6" s="1623"/>
      <c r="J6" s="1623"/>
      <c r="K6" s="1623"/>
      <c r="L6" s="1623"/>
      <c r="M6" s="1623"/>
      <c r="N6" s="1623"/>
      <c r="O6" s="1623"/>
      <c r="P6" s="1621"/>
      <c r="Q6" s="1621"/>
      <c r="R6" s="1621"/>
      <c r="S6" s="62"/>
    </row>
    <row r="7" spans="1:19" s="2" customFormat="1" ht="27" customHeight="1" x14ac:dyDescent="0.3">
      <c r="A7" s="61"/>
      <c r="B7" s="227">
        <v>1.1000000000000001</v>
      </c>
      <c r="C7" s="1627" t="s">
        <v>38</v>
      </c>
      <c r="D7" s="1627"/>
      <c r="E7" s="1627"/>
      <c r="F7" s="1627"/>
      <c r="G7" s="1627"/>
      <c r="H7" s="1627"/>
      <c r="I7" s="1627"/>
      <c r="J7" s="1627"/>
      <c r="K7" s="1627"/>
      <c r="L7" s="1627"/>
      <c r="M7" s="1627"/>
      <c r="N7" s="1627"/>
      <c r="O7" s="1627"/>
      <c r="P7" s="1621"/>
      <c r="Q7" s="1621"/>
      <c r="R7" s="1621"/>
      <c r="S7" s="62"/>
    </row>
    <row r="8" spans="1:19" s="2" customFormat="1" ht="27.9" customHeight="1" x14ac:dyDescent="0.3">
      <c r="A8" s="61"/>
      <c r="B8" s="1634">
        <v>1.2</v>
      </c>
      <c r="C8" s="1627" t="s">
        <v>438</v>
      </c>
      <c r="D8" s="1627"/>
      <c r="E8" s="1631"/>
      <c r="F8" s="1631"/>
      <c r="G8" s="1631"/>
      <c r="H8" s="1631"/>
      <c r="I8" s="1631"/>
      <c r="J8" s="1631"/>
      <c r="K8" s="1631"/>
      <c r="L8" s="1631"/>
      <c r="M8" s="1631"/>
      <c r="N8" s="1631"/>
      <c r="O8" s="1631"/>
      <c r="P8" s="1625"/>
      <c r="Q8" s="1625"/>
      <c r="R8" s="1625"/>
      <c r="S8" s="62"/>
    </row>
    <row r="9" spans="1:19" s="2" customFormat="1" ht="27.9" customHeight="1" x14ac:dyDescent="0.3">
      <c r="A9" s="61"/>
      <c r="B9" s="1635"/>
      <c r="C9" s="1615" t="s">
        <v>386</v>
      </c>
      <c r="D9" s="1616"/>
      <c r="E9" s="1617"/>
      <c r="F9" s="1618"/>
      <c r="G9" s="1618"/>
      <c r="H9" s="1618"/>
      <c r="I9" s="1618"/>
      <c r="J9" s="1618"/>
      <c r="K9" s="1618"/>
      <c r="L9" s="1618"/>
      <c r="M9" s="1618"/>
      <c r="N9" s="1618"/>
      <c r="O9" s="1618"/>
      <c r="P9" s="1618"/>
      <c r="Q9" s="1618"/>
      <c r="R9" s="1619"/>
      <c r="S9" s="62"/>
    </row>
    <row r="10" spans="1:19" s="2" customFormat="1" ht="35.25" customHeight="1" x14ac:dyDescent="0.3">
      <c r="A10" s="61"/>
      <c r="B10" s="227">
        <v>1.3</v>
      </c>
      <c r="C10" s="1460" t="s">
        <v>429</v>
      </c>
      <c r="D10" s="1461"/>
      <c r="E10" s="1632"/>
      <c r="F10" s="1632"/>
      <c r="G10" s="1632"/>
      <c r="H10" s="1632"/>
      <c r="I10" s="1632"/>
      <c r="J10" s="1632"/>
      <c r="K10" s="1632"/>
      <c r="L10" s="1632"/>
      <c r="M10" s="1632"/>
      <c r="N10" s="1632"/>
      <c r="O10" s="1633"/>
      <c r="P10" s="1628"/>
      <c r="Q10" s="1629"/>
      <c r="R10" s="1630"/>
      <c r="S10" s="62"/>
    </row>
    <row r="11" spans="1:19" s="2" customFormat="1" ht="27.9" customHeight="1" x14ac:dyDescent="0.3">
      <c r="A11" s="61"/>
      <c r="B11" s="227">
        <v>1.4</v>
      </c>
      <c r="C11" s="1502" t="s">
        <v>448</v>
      </c>
      <c r="D11" s="1502"/>
      <c r="E11" s="1502"/>
      <c r="F11" s="1502"/>
      <c r="G11" s="1502"/>
      <c r="H11" s="1502"/>
      <c r="I11" s="1620"/>
      <c r="J11" s="1620"/>
      <c r="K11" s="1620"/>
      <c r="L11" s="1620"/>
      <c r="M11" s="1620"/>
      <c r="N11" s="1620"/>
      <c r="O11" s="1620"/>
      <c r="P11" s="1621"/>
      <c r="Q11" s="1621"/>
      <c r="R11" s="1621"/>
      <c r="S11" s="62"/>
    </row>
    <row r="12" spans="1:19" s="2" customFormat="1" ht="27.9" customHeight="1" x14ac:dyDescent="0.3">
      <c r="A12" s="61"/>
      <c r="B12" s="227">
        <v>1.4</v>
      </c>
      <c r="C12" s="1502" t="s">
        <v>439</v>
      </c>
      <c r="D12" s="1502"/>
      <c r="E12" s="1502"/>
      <c r="F12" s="1502"/>
      <c r="G12" s="1502"/>
      <c r="H12" s="1502"/>
      <c r="I12" s="1620"/>
      <c r="J12" s="1620"/>
      <c r="K12" s="1620"/>
      <c r="L12" s="1620"/>
      <c r="M12" s="1620"/>
      <c r="N12" s="1620"/>
      <c r="O12" s="1620"/>
      <c r="P12" s="1621"/>
      <c r="Q12" s="1621"/>
      <c r="R12" s="1621"/>
      <c r="S12" s="62"/>
    </row>
    <row r="13" spans="1:19" x14ac:dyDescent="0.3">
      <c r="A13" s="61"/>
      <c r="S13" s="62"/>
    </row>
    <row r="14" spans="1:19" x14ac:dyDescent="0.3">
      <c r="A14" s="61"/>
      <c r="B14" s="1622" t="s">
        <v>1930</v>
      </c>
      <c r="C14" s="1622"/>
      <c r="D14" s="1622"/>
      <c r="E14" s="1622"/>
      <c r="F14" s="1622"/>
      <c r="G14" s="1622"/>
      <c r="H14" s="1622"/>
      <c r="I14" s="1622"/>
      <c r="J14" s="1622"/>
      <c r="K14" s="1622"/>
      <c r="L14" s="1622"/>
      <c r="M14" s="1622"/>
      <c r="N14" s="1622"/>
      <c r="O14" s="1622"/>
      <c r="P14" s="1622"/>
      <c r="Q14" s="1622"/>
      <c r="R14" s="1622"/>
      <c r="S14" s="62"/>
    </row>
    <row r="15" spans="1:19" x14ac:dyDescent="0.3">
      <c r="A15" s="61"/>
      <c r="B15" s="1622"/>
      <c r="C15" s="1622"/>
      <c r="D15" s="1622"/>
      <c r="E15" s="1622"/>
      <c r="F15" s="1622"/>
      <c r="G15" s="1622"/>
      <c r="H15" s="1622"/>
      <c r="I15" s="1622"/>
      <c r="J15" s="1622"/>
      <c r="K15" s="1622"/>
      <c r="L15" s="1622"/>
      <c r="M15" s="1622"/>
      <c r="N15" s="1622"/>
      <c r="O15" s="1622"/>
      <c r="P15" s="1622"/>
      <c r="Q15" s="1622"/>
      <c r="R15" s="1622"/>
      <c r="S15" s="62"/>
    </row>
    <row r="16" spans="1:19" ht="27" customHeight="1" x14ac:dyDescent="0.3">
      <c r="A16" s="61"/>
      <c r="S16" s="62"/>
    </row>
    <row r="17" spans="1:19" ht="27" customHeight="1" x14ac:dyDescent="0.3">
      <c r="A17" s="61"/>
      <c r="S17" s="62"/>
    </row>
    <row r="18" spans="1:19" ht="27" customHeight="1" x14ac:dyDescent="0.3">
      <c r="A18" s="61"/>
      <c r="S18" s="62"/>
    </row>
    <row r="19" spans="1:19" ht="27" customHeight="1" x14ac:dyDescent="0.3">
      <c r="A19" s="61"/>
      <c r="S19" s="62"/>
    </row>
    <row r="20" spans="1:19" ht="27" customHeight="1" x14ac:dyDescent="0.3">
      <c r="A20" s="61"/>
      <c r="S20" s="62"/>
    </row>
    <row r="21" spans="1:19" ht="27" customHeight="1" x14ac:dyDescent="0.3">
      <c r="A21" s="61"/>
      <c r="S21" s="62"/>
    </row>
    <row r="22" spans="1:19" ht="27" customHeight="1" x14ac:dyDescent="0.3">
      <c r="A22" s="61"/>
      <c r="S22" s="62"/>
    </row>
    <row r="23" spans="1:19" x14ac:dyDescent="0.3">
      <c r="A23" s="61"/>
      <c r="S23" s="62"/>
    </row>
    <row r="24" spans="1:19" x14ac:dyDescent="0.3">
      <c r="A24" s="61"/>
      <c r="S24" s="62"/>
    </row>
    <row r="25" spans="1:19" x14ac:dyDescent="0.3">
      <c r="A25" s="61"/>
      <c r="S25" s="62"/>
    </row>
    <row r="26" spans="1:19" x14ac:dyDescent="0.3">
      <c r="A26" s="61"/>
      <c r="S26" s="62"/>
    </row>
    <row r="27" spans="1:19" x14ac:dyDescent="0.3">
      <c r="A27" s="61"/>
      <c r="S27" s="62"/>
    </row>
    <row r="28" spans="1:19" x14ac:dyDescent="0.3">
      <c r="A28" s="61"/>
      <c r="S28" s="62"/>
    </row>
    <row r="29" spans="1:19" x14ac:dyDescent="0.3">
      <c r="A29" s="61"/>
      <c r="S29" s="62"/>
    </row>
    <row r="30" spans="1:19" x14ac:dyDescent="0.3">
      <c r="A30" s="61"/>
      <c r="S30" s="62"/>
    </row>
    <row r="31" spans="1:19" x14ac:dyDescent="0.3">
      <c r="A31" s="61"/>
      <c r="S31" s="62"/>
    </row>
    <row r="32" spans="1:19" x14ac:dyDescent="0.3">
      <c r="A32" s="61"/>
      <c r="S32" s="62"/>
    </row>
    <row r="33" spans="1:19" x14ac:dyDescent="0.3">
      <c r="A33" s="61"/>
      <c r="S33" s="62"/>
    </row>
    <row r="34" spans="1:19" x14ac:dyDescent="0.3">
      <c r="A34" s="61"/>
      <c r="S34" s="62"/>
    </row>
    <row r="35" spans="1:19" x14ac:dyDescent="0.3">
      <c r="A35" s="61"/>
      <c r="S35" s="62"/>
    </row>
    <row r="36" spans="1:19" x14ac:dyDescent="0.3">
      <c r="A36" s="61"/>
      <c r="S36" s="62"/>
    </row>
    <row r="37" spans="1:19" x14ac:dyDescent="0.3">
      <c r="A37" s="61"/>
      <c r="S37" s="62"/>
    </row>
    <row r="38" spans="1:19" x14ac:dyDescent="0.3">
      <c r="A38" s="61"/>
      <c r="S38" s="62"/>
    </row>
    <row r="39" spans="1:19" x14ac:dyDescent="0.3">
      <c r="A39" s="61"/>
      <c r="S39" s="62"/>
    </row>
    <row r="40" spans="1:19" x14ac:dyDescent="0.3">
      <c r="A40" s="61"/>
      <c r="S40" s="62"/>
    </row>
    <row r="41" spans="1:19" x14ac:dyDescent="0.3">
      <c r="A41" s="61"/>
      <c r="S41" s="62"/>
    </row>
    <row r="42" spans="1:19" x14ac:dyDescent="0.3">
      <c r="A42" s="61"/>
      <c r="S42" s="62"/>
    </row>
    <row r="43" spans="1:19" x14ac:dyDescent="0.3">
      <c r="A43" s="61"/>
      <c r="S43" s="62"/>
    </row>
    <row r="44" spans="1:19" x14ac:dyDescent="0.3">
      <c r="A44" s="61"/>
      <c r="S44" s="62"/>
    </row>
    <row r="45" spans="1:19" x14ac:dyDescent="0.3">
      <c r="A45" s="61"/>
      <c r="S45" s="62"/>
    </row>
    <row r="46" spans="1:19" x14ac:dyDescent="0.3">
      <c r="A46" s="61"/>
      <c r="S46" s="62"/>
    </row>
    <row r="47" spans="1:19" x14ac:dyDescent="0.3">
      <c r="A47" s="61"/>
      <c r="S47" s="62"/>
    </row>
    <row r="48" spans="1:19" x14ac:dyDescent="0.3">
      <c r="A48" s="61"/>
      <c r="S48" s="62"/>
    </row>
    <row r="49" spans="1:19" ht="16.2" thickBot="1" x14ac:dyDescent="0.35">
      <c r="A49" s="63"/>
      <c r="B49" s="63"/>
      <c r="C49" s="63"/>
      <c r="D49" s="63"/>
      <c r="E49" s="63"/>
      <c r="F49" s="63"/>
      <c r="G49" s="63"/>
      <c r="H49" s="63"/>
      <c r="I49" s="63"/>
      <c r="J49" s="63"/>
      <c r="K49" s="63"/>
      <c r="L49" s="63"/>
      <c r="M49" s="63"/>
      <c r="N49" s="63"/>
      <c r="O49" s="63"/>
      <c r="P49" s="63"/>
      <c r="Q49" s="63"/>
      <c r="R49" s="63"/>
      <c r="S49" s="63"/>
    </row>
    <row r="50" spans="1:19" x14ac:dyDescent="0.3">
      <c r="S50" s="8"/>
    </row>
    <row r="51" spans="1:19" x14ac:dyDescent="0.3">
      <c r="S51" s="19"/>
    </row>
    <row r="52" spans="1:19" x14ac:dyDescent="0.3">
      <c r="S52" s="19"/>
    </row>
    <row r="53" spans="1:19" x14ac:dyDescent="0.3">
      <c r="S53" s="19"/>
    </row>
    <row r="54" spans="1:19" x14ac:dyDescent="0.3">
      <c r="S54" s="19"/>
    </row>
    <row r="55" spans="1:19" x14ac:dyDescent="0.3">
      <c r="S55" s="29"/>
    </row>
    <row r="56" spans="1:19" x14ac:dyDescent="0.3">
      <c r="S56" s="19"/>
    </row>
    <row r="57" spans="1:19" x14ac:dyDescent="0.3">
      <c r="S57" s="30" t="s">
        <v>58</v>
      </c>
    </row>
    <row r="58" spans="1:19" x14ac:dyDescent="0.3">
      <c r="S58" s="19"/>
    </row>
    <row r="59" spans="1:19" x14ac:dyDescent="0.3">
      <c r="S59" s="30" t="s">
        <v>58</v>
      </c>
    </row>
    <row r="60" spans="1:19" x14ac:dyDescent="0.3">
      <c r="S60" s="30" t="s">
        <v>58</v>
      </c>
    </row>
    <row r="61" spans="1:19" x14ac:dyDescent="0.3">
      <c r="S61" s="30" t="s">
        <v>58</v>
      </c>
    </row>
    <row r="62" spans="1:19" x14ac:dyDescent="0.3">
      <c r="S62" s="30" t="s">
        <v>58</v>
      </c>
    </row>
    <row r="63" spans="1:19" x14ac:dyDescent="0.3">
      <c r="S63" s="30" t="s">
        <v>58</v>
      </c>
    </row>
    <row r="64" spans="1:19" x14ac:dyDescent="0.3">
      <c r="S64" s="30" t="s">
        <v>58</v>
      </c>
    </row>
    <row r="65" spans="19:19" x14ac:dyDescent="0.3">
      <c r="S65" s="30" t="s">
        <v>58</v>
      </c>
    </row>
    <row r="66" spans="19:19" x14ac:dyDescent="0.3">
      <c r="S66" s="29"/>
    </row>
    <row r="67" spans="19:19" x14ac:dyDescent="0.3">
      <c r="S67" s="29"/>
    </row>
  </sheetData>
  <mergeCells count="21">
    <mergeCell ref="B14:R15"/>
    <mergeCell ref="C6:O6"/>
    <mergeCell ref="P6:R6"/>
    <mergeCell ref="F3:R3"/>
    <mergeCell ref="C5:O5"/>
    <mergeCell ref="P7:R7"/>
    <mergeCell ref="P8:R8"/>
    <mergeCell ref="P5:R5"/>
    <mergeCell ref="I11:O11"/>
    <mergeCell ref="C7:O7"/>
    <mergeCell ref="P10:R10"/>
    <mergeCell ref="C8:O8"/>
    <mergeCell ref="C11:H11"/>
    <mergeCell ref="P11:R11"/>
    <mergeCell ref="C10:O10"/>
    <mergeCell ref="B8:B9"/>
    <mergeCell ref="C9:D9"/>
    <mergeCell ref="E9:R9"/>
    <mergeCell ref="C12:H12"/>
    <mergeCell ref="I12:O12"/>
    <mergeCell ref="P12:R12"/>
  </mergeCells>
  <phoneticPr fontId="5" type="noConversion"/>
  <pageMargins left="0.25" right="0.25" top="0.25" bottom="0.25" header="0.5" footer="0.5"/>
  <pageSetup orientation="landscape" horizontalDpi="4294967292" verticalDpi="4294967292"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U71"/>
  <sheetViews>
    <sheetView topLeftCell="A32" zoomScaleNormal="100" zoomScalePageLayoutView="125" workbookViewId="0">
      <selection activeCell="I35" sqref="I35:O35"/>
    </sheetView>
  </sheetViews>
  <sheetFormatPr defaultColWidth="11" defaultRowHeight="15.6" x14ac:dyDescent="0.3"/>
  <cols>
    <col min="1" max="1" width="1.8984375" customWidth="1"/>
    <col min="2" max="18" width="9.5" customWidth="1"/>
    <col min="19" max="19" width="1.8984375" customWidth="1"/>
    <col min="20" max="20" width="3.09765625" style="1" customWidth="1"/>
  </cols>
  <sheetData>
    <row r="1" spans="1:21" ht="14.25" customHeight="1" thickBot="1" x14ac:dyDescent="0.35">
      <c r="A1" s="58"/>
      <c r="B1" s="59"/>
      <c r="C1" s="59"/>
      <c r="D1" s="59"/>
      <c r="E1" s="59"/>
      <c r="F1" s="59"/>
      <c r="G1" s="59"/>
      <c r="H1" s="59"/>
      <c r="I1" s="59"/>
      <c r="J1" s="59"/>
      <c r="K1" s="59"/>
      <c r="L1" s="59"/>
      <c r="M1" s="59"/>
      <c r="N1" s="59"/>
      <c r="O1" s="59"/>
      <c r="P1" s="60"/>
      <c r="Q1" s="59"/>
      <c r="R1" s="60"/>
      <c r="S1" s="58"/>
      <c r="T1"/>
    </row>
    <row r="2" spans="1:21" s="1" customFormat="1" ht="16.2" thickBot="1" x14ac:dyDescent="0.35">
      <c r="A2" s="58"/>
      <c r="S2" s="58"/>
    </row>
    <row r="3" spans="1:21" ht="96" customHeight="1" x14ac:dyDescent="0.6">
      <c r="A3" s="58"/>
      <c r="B3" s="12"/>
      <c r="C3" s="2"/>
      <c r="D3" s="2"/>
      <c r="F3" s="1641" t="s">
        <v>435</v>
      </c>
      <c r="G3" s="1641"/>
      <c r="H3" s="1641"/>
      <c r="I3" s="1641"/>
      <c r="J3" s="1641"/>
      <c r="K3" s="1641"/>
      <c r="L3" s="1641"/>
      <c r="M3" s="1641"/>
      <c r="N3" s="1641"/>
      <c r="O3" s="1641"/>
      <c r="P3" s="1641"/>
      <c r="Q3" s="1641"/>
      <c r="R3" s="1641"/>
      <c r="S3" s="58"/>
      <c r="T3" s="12"/>
      <c r="U3" s="12"/>
    </row>
    <row r="4" spans="1:21" hidden="1" x14ac:dyDescent="0.3">
      <c r="A4" s="140"/>
      <c r="B4" s="3"/>
      <c r="C4" s="2"/>
      <c r="D4" s="2"/>
      <c r="E4" s="10"/>
      <c r="F4" s="6"/>
      <c r="G4" s="5"/>
      <c r="H4" s="5"/>
      <c r="I4" s="5"/>
      <c r="J4" s="5"/>
      <c r="K4" s="5"/>
      <c r="L4" s="5"/>
      <c r="M4" s="5"/>
      <c r="N4" s="5"/>
      <c r="O4" s="5"/>
      <c r="P4" s="5"/>
      <c r="Q4" s="5"/>
      <c r="R4" s="5"/>
      <c r="S4" s="140"/>
      <c r="T4" s="5"/>
      <c r="U4" s="7"/>
    </row>
    <row r="5" spans="1:21" s="2" customFormat="1" ht="15" customHeight="1" x14ac:dyDescent="0.3">
      <c r="A5" s="61"/>
      <c r="B5" s="226" t="s">
        <v>6</v>
      </c>
      <c r="C5" s="1523" t="s">
        <v>5</v>
      </c>
      <c r="D5" s="1523"/>
      <c r="E5" s="1523"/>
      <c r="F5" s="1523"/>
      <c r="G5" s="1523"/>
      <c r="H5" s="1523"/>
      <c r="I5" s="1523"/>
      <c r="J5" s="1523"/>
      <c r="K5" s="1523"/>
      <c r="L5" s="1523"/>
      <c r="M5" s="1523"/>
      <c r="N5" s="1523"/>
      <c r="O5" s="1523"/>
      <c r="P5" s="1649" t="s">
        <v>39</v>
      </c>
      <c r="Q5" s="1649"/>
      <c r="R5" s="1649"/>
      <c r="S5" s="61"/>
      <c r="T5" s="9"/>
      <c r="U5" s="8"/>
    </row>
    <row r="6" spans="1:21" s="2" customFormat="1" ht="27" customHeight="1" x14ac:dyDescent="0.3">
      <c r="A6" s="61"/>
      <c r="B6" s="205">
        <v>1</v>
      </c>
      <c r="C6" s="1642" t="s">
        <v>77</v>
      </c>
      <c r="D6" s="1643"/>
      <c r="E6" s="1643"/>
      <c r="F6" s="1643"/>
      <c r="G6" s="1643"/>
      <c r="H6" s="1644"/>
      <c r="I6" s="228"/>
      <c r="J6" s="229"/>
      <c r="K6" s="229"/>
      <c r="L6" s="229"/>
      <c r="M6" s="229"/>
      <c r="N6" s="229"/>
      <c r="O6" s="230"/>
      <c r="P6" s="231"/>
      <c r="Q6" s="232"/>
      <c r="R6" s="233"/>
      <c r="S6" s="61"/>
      <c r="T6" s="9"/>
      <c r="U6" s="8"/>
    </row>
    <row r="7" spans="1:21" s="2" customFormat="1" ht="27" customHeight="1" x14ac:dyDescent="0.3">
      <c r="A7" s="61"/>
      <c r="B7" s="227">
        <v>1.1000000000000001</v>
      </c>
      <c r="C7" s="1531" t="s">
        <v>481</v>
      </c>
      <c r="D7" s="1657"/>
      <c r="E7" s="1657"/>
      <c r="F7" s="1657"/>
      <c r="G7" s="1657"/>
      <c r="H7" s="1658"/>
      <c r="I7" s="1653"/>
      <c r="J7" s="1647"/>
      <c r="K7" s="1647"/>
      <c r="L7" s="1647"/>
      <c r="M7" s="1647"/>
      <c r="N7" s="1647"/>
      <c r="O7" s="1648"/>
      <c r="P7" s="1650"/>
      <c r="Q7" s="1651"/>
      <c r="R7" s="1652"/>
      <c r="S7" s="61"/>
      <c r="T7" s="5"/>
    </row>
    <row r="8" spans="1:21" s="2" customFormat="1" ht="27" customHeight="1" x14ac:dyDescent="0.3">
      <c r="A8" s="61"/>
      <c r="B8" s="227">
        <v>1.2</v>
      </c>
      <c r="C8" s="1531" t="s">
        <v>482</v>
      </c>
      <c r="D8" s="1657"/>
      <c r="E8" s="1657"/>
      <c r="F8" s="1657"/>
      <c r="G8" s="1657"/>
      <c r="H8" s="1658"/>
      <c r="I8" s="1653"/>
      <c r="J8" s="1647"/>
      <c r="K8" s="1647"/>
      <c r="L8" s="1647"/>
      <c r="M8" s="1647"/>
      <c r="N8" s="1647"/>
      <c r="O8" s="1648"/>
      <c r="P8" s="1650"/>
      <c r="Q8" s="1651"/>
      <c r="R8" s="1652"/>
      <c r="S8" s="61"/>
      <c r="T8" s="5"/>
    </row>
    <row r="9" spans="1:21" s="2" customFormat="1" ht="27" customHeight="1" x14ac:dyDescent="0.3">
      <c r="A9" s="61"/>
      <c r="B9" s="227">
        <v>1.3</v>
      </c>
      <c r="C9" s="1531" t="s">
        <v>493</v>
      </c>
      <c r="D9" s="1657"/>
      <c r="E9" s="1657"/>
      <c r="F9" s="1657"/>
      <c r="G9" s="1657"/>
      <c r="H9" s="1658"/>
      <c r="I9" s="1646"/>
      <c r="J9" s="1647"/>
      <c r="K9" s="1647"/>
      <c r="L9" s="1647"/>
      <c r="M9" s="1647"/>
      <c r="N9" s="1647"/>
      <c r="O9" s="1648"/>
      <c r="P9" s="1650"/>
      <c r="Q9" s="1651"/>
      <c r="R9" s="1652"/>
      <c r="S9" s="61"/>
      <c r="T9" s="5"/>
    </row>
    <row r="10" spans="1:21" s="2" customFormat="1" ht="27" customHeight="1" x14ac:dyDescent="0.3">
      <c r="A10" s="61"/>
      <c r="B10" s="227">
        <v>1.4</v>
      </c>
      <c r="C10" s="1531" t="s">
        <v>483</v>
      </c>
      <c r="D10" s="1657"/>
      <c r="E10" s="1657"/>
      <c r="F10" s="1657"/>
      <c r="G10" s="1657"/>
      <c r="H10" s="1658"/>
      <c r="I10" s="1646"/>
      <c r="J10" s="1647"/>
      <c r="K10" s="1647"/>
      <c r="L10" s="1647"/>
      <c r="M10" s="1647"/>
      <c r="N10" s="1647"/>
      <c r="O10" s="1648"/>
      <c r="P10" s="1650"/>
      <c r="Q10" s="1651"/>
      <c r="R10" s="1652"/>
      <c r="S10" s="61"/>
      <c r="T10" s="5"/>
    </row>
    <row r="11" spans="1:21" s="2" customFormat="1" ht="27" customHeight="1" x14ac:dyDescent="0.3">
      <c r="A11" s="61"/>
      <c r="B11" s="227">
        <v>1.5</v>
      </c>
      <c r="C11" s="1531" t="s">
        <v>484</v>
      </c>
      <c r="D11" s="1657"/>
      <c r="E11" s="1657"/>
      <c r="F11" s="1657"/>
      <c r="G11" s="1657"/>
      <c r="H11" s="1658"/>
      <c r="I11" s="1654"/>
      <c r="J11" s="1655"/>
      <c r="K11" s="1655"/>
      <c r="L11" s="1655"/>
      <c r="M11" s="1655"/>
      <c r="N11" s="1655"/>
      <c r="O11" s="1656"/>
      <c r="P11" s="1650"/>
      <c r="Q11" s="1651"/>
      <c r="R11" s="1652"/>
      <c r="S11" s="61"/>
      <c r="T11" s="5"/>
    </row>
    <row r="12" spans="1:21" s="2" customFormat="1" ht="27" customHeight="1" x14ac:dyDescent="0.3">
      <c r="A12" s="61"/>
      <c r="B12" s="227">
        <v>1.6</v>
      </c>
      <c r="C12" s="1531" t="s">
        <v>492</v>
      </c>
      <c r="D12" s="1657"/>
      <c r="E12" s="1657"/>
      <c r="F12" s="1657"/>
      <c r="G12" s="1657"/>
      <c r="H12" s="1658"/>
      <c r="I12" s="1646"/>
      <c r="J12" s="1647"/>
      <c r="K12" s="1647"/>
      <c r="L12" s="1647"/>
      <c r="M12" s="1647"/>
      <c r="N12" s="1647"/>
      <c r="O12" s="1648"/>
      <c r="P12" s="1650"/>
      <c r="Q12" s="1651"/>
      <c r="R12" s="1652"/>
      <c r="S12" s="61"/>
      <c r="T12" s="5"/>
    </row>
    <row r="13" spans="1:21" s="2" customFormat="1" ht="27" customHeight="1" x14ac:dyDescent="0.3">
      <c r="A13" s="61"/>
      <c r="B13" s="227">
        <v>1.7</v>
      </c>
      <c r="C13" s="1531" t="s">
        <v>485</v>
      </c>
      <c r="D13" s="1657"/>
      <c r="E13" s="1657"/>
      <c r="F13" s="1657"/>
      <c r="G13" s="1657"/>
      <c r="H13" s="1658"/>
      <c r="I13" s="1663">
        <f>I8*I9+I11*I12</f>
        <v>0</v>
      </c>
      <c r="J13" s="1664"/>
      <c r="K13" s="1664"/>
      <c r="L13" s="1664"/>
      <c r="M13" s="1664"/>
      <c r="N13" s="1664"/>
      <c r="O13" s="1665"/>
      <c r="P13" s="1666"/>
      <c r="Q13" s="1667"/>
      <c r="R13" s="1668"/>
      <c r="S13" s="61"/>
      <c r="T13" s="5"/>
    </row>
    <row r="14" spans="1:21" s="2" customFormat="1" ht="27" customHeight="1" x14ac:dyDescent="0.3">
      <c r="A14" s="61"/>
      <c r="B14" s="227">
        <v>1.8</v>
      </c>
      <c r="C14" s="1502" t="s">
        <v>486</v>
      </c>
      <c r="D14" s="1502"/>
      <c r="E14" s="1502"/>
      <c r="F14" s="1502"/>
      <c r="G14" s="1502"/>
      <c r="H14" s="1502"/>
      <c r="I14" s="1662">
        <f>I13/365</f>
        <v>0</v>
      </c>
      <c r="J14" s="1662"/>
      <c r="K14" s="1662"/>
      <c r="L14" s="1662"/>
      <c r="M14" s="1662"/>
      <c r="N14" s="1662"/>
      <c r="O14" s="1662"/>
      <c r="P14" s="1669"/>
      <c r="Q14" s="1669"/>
      <c r="R14" s="1669"/>
      <c r="S14" s="61"/>
      <c r="T14" s="5"/>
    </row>
    <row r="15" spans="1:21" s="34" customFormat="1" ht="3.9" customHeight="1" x14ac:dyDescent="0.3">
      <c r="A15" s="61"/>
      <c r="B15" s="234"/>
      <c r="C15" s="235"/>
      <c r="D15" s="235"/>
      <c r="E15" s="235"/>
      <c r="F15" s="235"/>
      <c r="G15" s="235"/>
      <c r="H15" s="235"/>
      <c r="I15" s="236"/>
      <c r="J15" s="236"/>
      <c r="K15" s="236"/>
      <c r="L15" s="236"/>
      <c r="M15" s="236"/>
      <c r="N15" s="236"/>
      <c r="O15" s="236"/>
      <c r="P15" s="23"/>
      <c r="Q15" s="23"/>
      <c r="R15" s="23"/>
      <c r="S15" s="61"/>
    </row>
    <row r="16" spans="1:21" s="34" customFormat="1" ht="26.1" customHeight="1" x14ac:dyDescent="0.3">
      <c r="A16" s="61"/>
      <c r="B16" s="78">
        <v>2</v>
      </c>
      <c r="C16" s="1464"/>
      <c r="D16" s="1465"/>
      <c r="E16" s="1465"/>
      <c r="F16" s="1465"/>
      <c r="G16" s="1465"/>
      <c r="H16" s="1466"/>
      <c r="I16" s="1659"/>
      <c r="J16" s="1660"/>
      <c r="K16" s="1660"/>
      <c r="L16" s="1660"/>
      <c r="M16" s="1660"/>
      <c r="N16" s="1660"/>
      <c r="O16" s="1661"/>
      <c r="P16" s="1636"/>
      <c r="Q16" s="1636"/>
      <c r="R16" s="1636"/>
      <c r="S16" s="61"/>
    </row>
    <row r="17" spans="1:20" s="2" customFormat="1" ht="27" customHeight="1" x14ac:dyDescent="0.3">
      <c r="A17" s="61"/>
      <c r="B17" s="227">
        <v>2.1</v>
      </c>
      <c r="C17" s="1531" t="s">
        <v>481</v>
      </c>
      <c r="D17" s="1657"/>
      <c r="E17" s="1657"/>
      <c r="F17" s="1657"/>
      <c r="G17" s="1657"/>
      <c r="H17" s="1658"/>
      <c r="I17" s="1620"/>
      <c r="J17" s="1620"/>
      <c r="K17" s="1620"/>
      <c r="L17" s="1620"/>
      <c r="M17" s="1620"/>
      <c r="N17" s="1620"/>
      <c r="O17" s="1620"/>
      <c r="P17" s="1636"/>
      <c r="Q17" s="1636"/>
      <c r="R17" s="1636"/>
      <c r="S17" s="61"/>
      <c r="T17" s="5"/>
    </row>
    <row r="18" spans="1:20" s="2" customFormat="1" ht="27" customHeight="1" x14ac:dyDescent="0.3">
      <c r="A18" s="61"/>
      <c r="B18" s="227">
        <v>2.2000000000000002</v>
      </c>
      <c r="C18" s="1531" t="s">
        <v>482</v>
      </c>
      <c r="D18" s="1657"/>
      <c r="E18" s="1657"/>
      <c r="F18" s="1657"/>
      <c r="G18" s="1657"/>
      <c r="H18" s="1658"/>
      <c r="I18" s="1653"/>
      <c r="J18" s="1647"/>
      <c r="K18" s="1647"/>
      <c r="L18" s="1647"/>
      <c r="M18" s="1647"/>
      <c r="N18" s="1647"/>
      <c r="O18" s="1648"/>
      <c r="P18" s="1650"/>
      <c r="Q18" s="1651"/>
      <c r="R18" s="1652"/>
      <c r="S18" s="61"/>
      <c r="T18" s="5"/>
    </row>
    <row r="19" spans="1:20" s="2" customFormat="1" ht="27" customHeight="1" x14ac:dyDescent="0.3">
      <c r="A19" s="61"/>
      <c r="B19" s="227">
        <v>2.2999999999999998</v>
      </c>
      <c r="C19" s="1531" t="s">
        <v>493</v>
      </c>
      <c r="D19" s="1657"/>
      <c r="E19" s="1657"/>
      <c r="F19" s="1657"/>
      <c r="G19" s="1657"/>
      <c r="H19" s="1658"/>
      <c r="I19" s="1646"/>
      <c r="J19" s="1647"/>
      <c r="K19" s="1647"/>
      <c r="L19" s="1647"/>
      <c r="M19" s="1647"/>
      <c r="N19" s="1647"/>
      <c r="O19" s="1648"/>
      <c r="P19" s="1650"/>
      <c r="Q19" s="1651"/>
      <c r="R19" s="1652"/>
      <c r="S19" s="61"/>
      <c r="T19" s="5"/>
    </row>
    <row r="20" spans="1:20" s="2" customFormat="1" ht="27" customHeight="1" x14ac:dyDescent="0.3">
      <c r="A20" s="61"/>
      <c r="B20" s="227">
        <v>2.4</v>
      </c>
      <c r="C20" s="1531" t="s">
        <v>483</v>
      </c>
      <c r="D20" s="1657"/>
      <c r="E20" s="1657"/>
      <c r="F20" s="1657"/>
      <c r="G20" s="1657"/>
      <c r="H20" s="1658"/>
      <c r="I20" s="1653"/>
      <c r="J20" s="1647"/>
      <c r="K20" s="1647"/>
      <c r="L20" s="1647"/>
      <c r="M20" s="1647"/>
      <c r="N20" s="1647"/>
      <c r="O20" s="1648"/>
      <c r="P20" s="1650"/>
      <c r="Q20" s="1651"/>
      <c r="R20" s="1652"/>
      <c r="S20" s="61"/>
      <c r="T20" s="5"/>
    </row>
    <row r="21" spans="1:20" s="2" customFormat="1" ht="27" customHeight="1" x14ac:dyDescent="0.3">
      <c r="A21" s="61"/>
      <c r="B21" s="227">
        <v>2.5</v>
      </c>
      <c r="C21" s="1531" t="s">
        <v>484</v>
      </c>
      <c r="D21" s="1657"/>
      <c r="E21" s="1657"/>
      <c r="F21" s="1657"/>
      <c r="G21" s="1657"/>
      <c r="H21" s="1658"/>
      <c r="I21" s="1653"/>
      <c r="J21" s="1647"/>
      <c r="K21" s="1647"/>
      <c r="L21" s="1647"/>
      <c r="M21" s="1647"/>
      <c r="N21" s="1647"/>
      <c r="O21" s="1648"/>
      <c r="P21" s="1650"/>
      <c r="Q21" s="1651"/>
      <c r="R21" s="1652"/>
      <c r="S21" s="61"/>
      <c r="T21" s="5"/>
    </row>
    <row r="22" spans="1:20" s="2" customFormat="1" ht="27" customHeight="1" x14ac:dyDescent="0.3">
      <c r="A22" s="61"/>
      <c r="B22" s="227">
        <v>2.6</v>
      </c>
      <c r="C22" s="1531" t="s">
        <v>492</v>
      </c>
      <c r="D22" s="1657"/>
      <c r="E22" s="1657"/>
      <c r="F22" s="1657"/>
      <c r="G22" s="1657"/>
      <c r="H22" s="1658"/>
      <c r="I22" s="1646"/>
      <c r="J22" s="1647"/>
      <c r="K22" s="1647"/>
      <c r="L22" s="1647"/>
      <c r="M22" s="1647"/>
      <c r="N22" s="1647"/>
      <c r="O22" s="1648"/>
      <c r="P22" s="1650"/>
      <c r="Q22" s="1651"/>
      <c r="R22" s="1652"/>
      <c r="S22" s="61"/>
      <c r="T22" s="5"/>
    </row>
    <row r="23" spans="1:20" s="2" customFormat="1" ht="27" customHeight="1" x14ac:dyDescent="0.3">
      <c r="A23" s="61"/>
      <c r="B23" s="227">
        <v>2.7</v>
      </c>
      <c r="C23" s="1531" t="s">
        <v>485</v>
      </c>
      <c r="D23" s="1657"/>
      <c r="E23" s="1657"/>
      <c r="F23" s="1657"/>
      <c r="G23" s="1657"/>
      <c r="H23" s="1658"/>
      <c r="I23" s="1673">
        <f>I18*I19+I21*I22</f>
        <v>0</v>
      </c>
      <c r="J23" s="1674"/>
      <c r="K23" s="1674"/>
      <c r="L23" s="1674"/>
      <c r="M23" s="1674"/>
      <c r="N23" s="1674"/>
      <c r="O23" s="1675"/>
      <c r="P23" s="1666"/>
      <c r="Q23" s="1667"/>
      <c r="R23" s="1668"/>
      <c r="S23" s="61"/>
      <c r="T23" s="5"/>
    </row>
    <row r="24" spans="1:20" s="2" customFormat="1" ht="27" customHeight="1" x14ac:dyDescent="0.3">
      <c r="A24" s="61"/>
      <c r="B24" s="227">
        <v>2.8</v>
      </c>
      <c r="C24" s="1502" t="s">
        <v>486</v>
      </c>
      <c r="D24" s="1502"/>
      <c r="E24" s="1502"/>
      <c r="F24" s="1502"/>
      <c r="G24" s="1502"/>
      <c r="H24" s="1502"/>
      <c r="I24" s="1662" t="e">
        <f>1/I23</f>
        <v>#DIV/0!</v>
      </c>
      <c r="J24" s="1662"/>
      <c r="K24" s="1662"/>
      <c r="L24" s="1662"/>
      <c r="M24" s="1662"/>
      <c r="N24" s="1662"/>
      <c r="O24" s="1662"/>
      <c r="P24" s="1669"/>
      <c r="Q24" s="1669"/>
      <c r="R24" s="1669"/>
      <c r="S24" s="61"/>
      <c r="T24" s="5"/>
    </row>
    <row r="25" spans="1:20" s="5" customFormat="1" ht="3.9" customHeight="1" x14ac:dyDescent="0.3">
      <c r="A25" s="61"/>
      <c r="B25" s="234"/>
      <c r="C25" s="235"/>
      <c r="D25" s="235"/>
      <c r="E25" s="235"/>
      <c r="F25" s="235"/>
      <c r="G25" s="235"/>
      <c r="H25" s="235"/>
      <c r="I25" s="236"/>
      <c r="J25" s="236"/>
      <c r="K25" s="236"/>
      <c r="L25" s="236"/>
      <c r="M25" s="236"/>
      <c r="N25" s="236"/>
      <c r="O25" s="236"/>
      <c r="P25" s="23"/>
      <c r="Q25" s="23"/>
      <c r="R25" s="23"/>
      <c r="S25" s="61"/>
    </row>
    <row r="26" spans="1:20" s="5" customFormat="1" ht="27" customHeight="1" x14ac:dyDescent="0.3">
      <c r="A26" s="61"/>
      <c r="B26" s="78">
        <v>3</v>
      </c>
      <c r="C26" s="1464"/>
      <c r="D26" s="1465"/>
      <c r="E26" s="1465"/>
      <c r="F26" s="1465"/>
      <c r="G26" s="1465"/>
      <c r="H26" s="1466"/>
      <c r="I26" s="1645"/>
      <c r="J26" s="1645"/>
      <c r="K26" s="1645"/>
      <c r="L26" s="1645"/>
      <c r="M26" s="1645"/>
      <c r="N26" s="1645"/>
      <c r="O26" s="1645"/>
      <c r="P26" s="1636"/>
      <c r="Q26" s="1636"/>
      <c r="R26" s="1636"/>
      <c r="S26" s="61"/>
    </row>
    <row r="27" spans="1:20" s="2" customFormat="1" ht="27" customHeight="1" x14ac:dyDescent="0.3">
      <c r="A27" s="61"/>
      <c r="B27" s="227">
        <v>3.1</v>
      </c>
      <c r="C27" s="1531" t="s">
        <v>481</v>
      </c>
      <c r="D27" s="1657"/>
      <c r="E27" s="1657"/>
      <c r="F27" s="1657"/>
      <c r="G27" s="1657"/>
      <c r="H27" s="1658"/>
      <c r="I27" s="1676"/>
      <c r="J27" s="1676"/>
      <c r="K27" s="1676"/>
      <c r="L27" s="1676"/>
      <c r="M27" s="1676"/>
      <c r="N27" s="1676"/>
      <c r="O27" s="1676"/>
      <c r="P27" s="1636"/>
      <c r="Q27" s="1636"/>
      <c r="R27" s="1636"/>
      <c r="S27" s="61"/>
      <c r="T27" s="5"/>
    </row>
    <row r="28" spans="1:20" s="2" customFormat="1" ht="27" customHeight="1" x14ac:dyDescent="0.3">
      <c r="A28" s="61"/>
      <c r="B28" s="237">
        <v>3.2</v>
      </c>
      <c r="C28" s="1531" t="s">
        <v>482</v>
      </c>
      <c r="D28" s="1657"/>
      <c r="E28" s="1657"/>
      <c r="F28" s="1657"/>
      <c r="G28" s="1657"/>
      <c r="H28" s="1658"/>
      <c r="I28" s="1670"/>
      <c r="J28" s="1671"/>
      <c r="K28" s="1671"/>
      <c r="L28" s="1671"/>
      <c r="M28" s="1671"/>
      <c r="N28" s="1671"/>
      <c r="O28" s="1672"/>
      <c r="P28" s="1650"/>
      <c r="Q28" s="1651"/>
      <c r="R28" s="1652"/>
      <c r="S28" s="61"/>
      <c r="T28" s="5"/>
    </row>
    <row r="29" spans="1:20" s="2" customFormat="1" ht="27" customHeight="1" x14ac:dyDescent="0.3">
      <c r="A29" s="61"/>
      <c r="B29" s="227">
        <v>3.3</v>
      </c>
      <c r="C29" s="1531" t="s">
        <v>493</v>
      </c>
      <c r="D29" s="1657"/>
      <c r="E29" s="1657"/>
      <c r="F29" s="1657"/>
      <c r="G29" s="1657"/>
      <c r="H29" s="1658"/>
      <c r="I29" s="1670"/>
      <c r="J29" s="1671"/>
      <c r="K29" s="1671"/>
      <c r="L29" s="1671"/>
      <c r="M29" s="1671"/>
      <c r="N29" s="1671"/>
      <c r="O29" s="1672"/>
      <c r="P29" s="1650"/>
      <c r="Q29" s="1651"/>
      <c r="R29" s="1652"/>
      <c r="S29" s="61"/>
      <c r="T29" s="5"/>
    </row>
    <row r="30" spans="1:20" s="2" customFormat="1" ht="27" customHeight="1" x14ac:dyDescent="0.3">
      <c r="A30" s="61"/>
      <c r="B30" s="227">
        <v>3.4</v>
      </c>
      <c r="C30" s="1531" t="s">
        <v>483</v>
      </c>
      <c r="D30" s="1657"/>
      <c r="E30" s="1657"/>
      <c r="F30" s="1657"/>
      <c r="G30" s="1657"/>
      <c r="H30" s="1658"/>
      <c r="I30" s="1670"/>
      <c r="J30" s="1671"/>
      <c r="K30" s="1671"/>
      <c r="L30" s="1671"/>
      <c r="M30" s="1671"/>
      <c r="N30" s="1671"/>
      <c r="O30" s="1672"/>
      <c r="P30" s="1650"/>
      <c r="Q30" s="1651"/>
      <c r="R30" s="1652"/>
      <c r="S30" s="61"/>
      <c r="T30" s="5"/>
    </row>
    <row r="31" spans="1:20" s="2" customFormat="1" ht="27" customHeight="1" x14ac:dyDescent="0.3">
      <c r="A31" s="61"/>
      <c r="B31" s="227">
        <v>3.5</v>
      </c>
      <c r="C31" s="1531" t="s">
        <v>484</v>
      </c>
      <c r="D31" s="1657"/>
      <c r="E31" s="1657"/>
      <c r="F31" s="1657"/>
      <c r="G31" s="1657"/>
      <c r="H31" s="1658"/>
      <c r="I31" s="1677"/>
      <c r="J31" s="1678"/>
      <c r="K31" s="1678"/>
      <c r="L31" s="1678"/>
      <c r="M31" s="1678"/>
      <c r="N31" s="1678"/>
      <c r="O31" s="1679"/>
      <c r="P31" s="1650"/>
      <c r="Q31" s="1651"/>
      <c r="R31" s="1652"/>
      <c r="S31" s="61"/>
      <c r="T31" s="5"/>
    </row>
    <row r="32" spans="1:20" s="2" customFormat="1" ht="27" customHeight="1" x14ac:dyDescent="0.3">
      <c r="A32" s="61"/>
      <c r="B32" s="227">
        <v>3.6</v>
      </c>
      <c r="C32" s="1531" t="s">
        <v>492</v>
      </c>
      <c r="D32" s="1657"/>
      <c r="E32" s="1657"/>
      <c r="F32" s="1657"/>
      <c r="G32" s="1657"/>
      <c r="H32" s="1658"/>
      <c r="I32" s="1670"/>
      <c r="J32" s="1671"/>
      <c r="K32" s="1671"/>
      <c r="L32" s="1671"/>
      <c r="M32" s="1671"/>
      <c r="N32" s="1671"/>
      <c r="O32" s="1672"/>
      <c r="P32" s="1650"/>
      <c r="Q32" s="1651"/>
      <c r="R32" s="1652"/>
      <c r="S32" s="61"/>
      <c r="T32" s="5"/>
    </row>
    <row r="33" spans="1:20" s="2" customFormat="1" ht="27" customHeight="1" x14ac:dyDescent="0.3">
      <c r="A33" s="61"/>
      <c r="B33" s="227">
        <v>3.7</v>
      </c>
      <c r="C33" s="1531" t="s">
        <v>485</v>
      </c>
      <c r="D33" s="1657"/>
      <c r="E33" s="1657"/>
      <c r="F33" s="1657"/>
      <c r="G33" s="1657"/>
      <c r="H33" s="1658"/>
      <c r="I33" s="1670"/>
      <c r="J33" s="1671"/>
      <c r="K33" s="1671"/>
      <c r="L33" s="1671"/>
      <c r="M33" s="1671"/>
      <c r="N33" s="1671"/>
      <c r="O33" s="1672"/>
      <c r="P33" s="1650"/>
      <c r="Q33" s="1651"/>
      <c r="R33" s="1652"/>
      <c r="S33" s="61"/>
      <c r="T33" s="5"/>
    </row>
    <row r="34" spans="1:20" s="2" customFormat="1" ht="27" customHeight="1" x14ac:dyDescent="0.3">
      <c r="A34" s="61"/>
      <c r="B34" s="227">
        <v>3.8</v>
      </c>
      <c r="C34" s="1502" t="s">
        <v>486</v>
      </c>
      <c r="D34" s="1502"/>
      <c r="E34" s="1502"/>
      <c r="F34" s="1502"/>
      <c r="G34" s="1502"/>
      <c r="H34" s="1502"/>
      <c r="I34" s="1670"/>
      <c r="J34" s="1671"/>
      <c r="K34" s="1671"/>
      <c r="L34" s="1671"/>
      <c r="M34" s="1671"/>
      <c r="N34" s="1671"/>
      <c r="O34" s="1672"/>
      <c r="P34" s="1650"/>
      <c r="Q34" s="1651"/>
      <c r="R34" s="1652"/>
      <c r="S34" s="61"/>
      <c r="T34" s="5"/>
    </row>
    <row r="35" spans="1:20" s="2" customFormat="1" ht="27" customHeight="1" x14ac:dyDescent="0.3">
      <c r="A35" s="61"/>
      <c r="B35" s="227">
        <v>3.9</v>
      </c>
      <c r="C35" s="1531"/>
      <c r="D35" s="1657"/>
      <c r="E35" s="1657"/>
      <c r="F35" s="1657"/>
      <c r="G35" s="1657"/>
      <c r="H35" s="1658"/>
      <c r="I35" s="1670"/>
      <c r="J35" s="1671"/>
      <c r="K35" s="1671"/>
      <c r="L35" s="1671"/>
      <c r="M35" s="1671"/>
      <c r="N35" s="1671"/>
      <c r="O35" s="1672"/>
      <c r="P35" s="1650"/>
      <c r="Q35" s="1651"/>
      <c r="R35" s="1652"/>
      <c r="S35" s="61"/>
      <c r="T35" s="5"/>
    </row>
    <row r="36" spans="1:20" s="2" customFormat="1" ht="27" customHeight="1" x14ac:dyDescent="0.3">
      <c r="A36" s="61"/>
      <c r="B36" s="237" t="s">
        <v>74</v>
      </c>
      <c r="C36" s="1531"/>
      <c r="D36" s="1657"/>
      <c r="E36" s="1657"/>
      <c r="F36" s="1657"/>
      <c r="G36" s="1657"/>
      <c r="H36" s="1658"/>
      <c r="I36" s="1677"/>
      <c r="J36" s="1678"/>
      <c r="K36" s="1678"/>
      <c r="L36" s="1678"/>
      <c r="M36" s="1678"/>
      <c r="N36" s="1678"/>
      <c r="O36" s="1679"/>
      <c r="P36" s="1650"/>
      <c r="Q36" s="1651"/>
      <c r="R36" s="1652"/>
      <c r="S36" s="61"/>
      <c r="T36" s="5"/>
    </row>
    <row r="37" spans="1:20" s="1" customFormat="1" ht="27" customHeight="1" x14ac:dyDescent="0.3">
      <c r="A37" s="61"/>
      <c r="B37" s="238">
        <v>3.11</v>
      </c>
      <c r="C37" s="1531"/>
      <c r="D37" s="1657"/>
      <c r="E37" s="1657"/>
      <c r="F37" s="1657"/>
      <c r="G37" s="1657"/>
      <c r="H37" s="1658"/>
      <c r="I37" s="1673">
        <f>I28*I31+I33*I36</f>
        <v>0</v>
      </c>
      <c r="J37" s="1674"/>
      <c r="K37" s="1674"/>
      <c r="L37" s="1674"/>
      <c r="M37" s="1674"/>
      <c r="N37" s="1674"/>
      <c r="O37" s="1675"/>
      <c r="P37" s="1666"/>
      <c r="Q37" s="1667"/>
      <c r="R37" s="1668"/>
      <c r="S37" s="61"/>
    </row>
    <row r="38" spans="1:20" s="1" customFormat="1" ht="27" customHeight="1" x14ac:dyDescent="0.3">
      <c r="A38" s="61"/>
      <c r="B38" s="238">
        <v>3.12</v>
      </c>
      <c r="C38" s="1531"/>
      <c r="D38" s="1657"/>
      <c r="E38" s="1657"/>
      <c r="F38" s="1657"/>
      <c r="G38" s="1657"/>
      <c r="H38" s="1658"/>
      <c r="I38" s="1673">
        <f>I29*I31+I34*I36</f>
        <v>0</v>
      </c>
      <c r="J38" s="1674"/>
      <c r="K38" s="1674"/>
      <c r="L38" s="1674"/>
      <c r="M38" s="1674"/>
      <c r="N38" s="1674"/>
      <c r="O38" s="1675"/>
      <c r="P38" s="1666"/>
      <c r="Q38" s="1667"/>
      <c r="R38" s="1668"/>
      <c r="S38" s="61"/>
    </row>
    <row r="39" spans="1:20" s="1" customFormat="1" ht="27" customHeight="1" x14ac:dyDescent="0.3">
      <c r="A39" s="61"/>
      <c r="B39" s="238">
        <v>3.13</v>
      </c>
      <c r="C39" s="1531"/>
      <c r="D39" s="1657"/>
      <c r="E39" s="1657"/>
      <c r="F39" s="1657"/>
      <c r="G39" s="1657"/>
      <c r="H39" s="1658"/>
      <c r="I39" s="1673">
        <f>I30*I31+I35*I36</f>
        <v>0</v>
      </c>
      <c r="J39" s="1674"/>
      <c r="K39" s="1674"/>
      <c r="L39" s="1674"/>
      <c r="M39" s="1674"/>
      <c r="N39" s="1674"/>
      <c r="O39" s="1675"/>
      <c r="P39" s="1666"/>
      <c r="Q39" s="1667"/>
      <c r="R39" s="1668"/>
      <c r="S39" s="61"/>
    </row>
    <row r="40" spans="1:20" ht="27" customHeight="1" x14ac:dyDescent="0.3">
      <c r="A40" s="61"/>
      <c r="B40" s="238">
        <v>3.14</v>
      </c>
      <c r="C40" s="1502"/>
      <c r="D40" s="1502"/>
      <c r="E40" s="1502"/>
      <c r="F40" s="1502"/>
      <c r="G40" s="1502"/>
      <c r="H40" s="1502"/>
      <c r="I40" s="1662">
        <f>I39/392</f>
        <v>0</v>
      </c>
      <c r="J40" s="1662"/>
      <c r="K40" s="1662"/>
      <c r="L40" s="1662"/>
      <c r="M40" s="1662"/>
      <c r="N40" s="1662"/>
      <c r="O40" s="1662"/>
      <c r="P40" s="1669"/>
      <c r="Q40" s="1669"/>
      <c r="R40" s="1669"/>
      <c r="S40" s="61"/>
    </row>
    <row r="41" spans="1:20" s="17" customFormat="1" ht="5.0999999999999996" customHeight="1" x14ac:dyDescent="0.3">
      <c r="A41" s="61"/>
      <c r="B41" s="239"/>
      <c r="C41" s="235"/>
      <c r="D41" s="235"/>
      <c r="E41" s="235"/>
      <c r="F41" s="235"/>
      <c r="G41" s="235"/>
      <c r="H41" s="235"/>
      <c r="I41" s="236"/>
      <c r="J41" s="236"/>
      <c r="K41" s="236"/>
      <c r="L41" s="236"/>
      <c r="M41" s="236"/>
      <c r="N41" s="236"/>
      <c r="O41" s="236"/>
      <c r="P41" s="23"/>
      <c r="Q41" s="23"/>
      <c r="R41" s="23"/>
      <c r="S41" s="61"/>
    </row>
    <row r="42" spans="1:20" s="17" customFormat="1" ht="27" customHeight="1" x14ac:dyDescent="0.3">
      <c r="A42" s="61"/>
      <c r="B42" s="159">
        <v>4</v>
      </c>
      <c r="C42" s="1464"/>
      <c r="D42" s="1465"/>
      <c r="E42" s="1465"/>
      <c r="F42" s="1465"/>
      <c r="G42" s="1465"/>
      <c r="H42" s="1466"/>
      <c r="I42" s="1645"/>
      <c r="J42" s="1645"/>
      <c r="K42" s="1645"/>
      <c r="L42" s="1645"/>
      <c r="M42" s="1645"/>
      <c r="N42" s="1645"/>
      <c r="O42" s="1645"/>
      <c r="P42" s="1636"/>
      <c r="Q42" s="1636"/>
      <c r="R42" s="1636"/>
      <c r="S42" s="61"/>
    </row>
    <row r="43" spans="1:20" ht="27" customHeight="1" x14ac:dyDescent="0.3">
      <c r="A43" s="61"/>
      <c r="B43" s="238">
        <v>4.0999999999999996</v>
      </c>
      <c r="C43" s="1531" t="s">
        <v>481</v>
      </c>
      <c r="D43" s="1657"/>
      <c r="E43" s="1657"/>
      <c r="F43" s="1657"/>
      <c r="G43" s="1657"/>
      <c r="H43" s="1658"/>
      <c r="I43" s="1676"/>
      <c r="J43" s="1676"/>
      <c r="K43" s="1676"/>
      <c r="L43" s="1676"/>
      <c r="M43" s="1676"/>
      <c r="N43" s="1676"/>
      <c r="O43" s="1676"/>
      <c r="P43" s="1636"/>
      <c r="Q43" s="1636"/>
      <c r="R43" s="1636"/>
      <c r="S43" s="61"/>
    </row>
    <row r="44" spans="1:20" ht="27" customHeight="1" x14ac:dyDescent="0.3">
      <c r="A44" s="61"/>
      <c r="B44" s="238">
        <v>4.2</v>
      </c>
      <c r="C44" s="1531" t="s">
        <v>482</v>
      </c>
      <c r="D44" s="1657"/>
      <c r="E44" s="1657"/>
      <c r="F44" s="1657"/>
      <c r="G44" s="1657"/>
      <c r="H44" s="1658"/>
      <c r="I44" s="1670"/>
      <c r="J44" s="1671"/>
      <c r="K44" s="1671"/>
      <c r="L44" s="1671"/>
      <c r="M44" s="1671"/>
      <c r="N44" s="1671"/>
      <c r="O44" s="1672"/>
      <c r="P44" s="1650"/>
      <c r="Q44" s="1651"/>
      <c r="R44" s="1652"/>
      <c r="S44" s="61"/>
    </row>
    <row r="45" spans="1:20" ht="27" customHeight="1" x14ac:dyDescent="0.3">
      <c r="A45" s="61"/>
      <c r="B45" s="238">
        <v>4.3</v>
      </c>
      <c r="C45" s="1531" t="s">
        <v>493</v>
      </c>
      <c r="D45" s="1657"/>
      <c r="E45" s="1657"/>
      <c r="F45" s="1657"/>
      <c r="G45" s="1657"/>
      <c r="H45" s="1658"/>
      <c r="I45" s="1670"/>
      <c r="J45" s="1671"/>
      <c r="K45" s="1671"/>
      <c r="L45" s="1671"/>
      <c r="M45" s="1671"/>
      <c r="N45" s="1671"/>
      <c r="O45" s="1672"/>
      <c r="P45" s="1650"/>
      <c r="Q45" s="1651"/>
      <c r="R45" s="1652"/>
      <c r="S45" s="61"/>
    </row>
    <row r="46" spans="1:20" ht="27" customHeight="1" x14ac:dyDescent="0.3">
      <c r="A46" s="61"/>
      <c r="B46" s="238">
        <v>4.4000000000000004</v>
      </c>
      <c r="C46" s="1531" t="s">
        <v>483</v>
      </c>
      <c r="D46" s="1657"/>
      <c r="E46" s="1657"/>
      <c r="F46" s="1657"/>
      <c r="G46" s="1657"/>
      <c r="H46" s="1658"/>
      <c r="I46" s="1670"/>
      <c r="J46" s="1671"/>
      <c r="K46" s="1671"/>
      <c r="L46" s="1671"/>
      <c r="M46" s="1671"/>
      <c r="N46" s="1671"/>
      <c r="O46" s="1672"/>
      <c r="P46" s="1650"/>
      <c r="Q46" s="1651"/>
      <c r="R46" s="1652"/>
      <c r="S46" s="61"/>
    </row>
    <row r="47" spans="1:20" ht="27" customHeight="1" x14ac:dyDescent="0.3">
      <c r="A47" s="61"/>
      <c r="B47" s="238">
        <v>4.5</v>
      </c>
      <c r="C47" s="1531" t="s">
        <v>484</v>
      </c>
      <c r="D47" s="1657"/>
      <c r="E47" s="1657"/>
      <c r="F47" s="1657"/>
      <c r="G47" s="1657"/>
      <c r="H47" s="1658"/>
      <c r="I47" s="1670"/>
      <c r="J47" s="1671"/>
      <c r="K47" s="1671"/>
      <c r="L47" s="1671"/>
      <c r="M47" s="1671"/>
      <c r="N47" s="1671"/>
      <c r="O47" s="1672"/>
      <c r="P47" s="1650"/>
      <c r="Q47" s="1651"/>
      <c r="R47" s="1652"/>
      <c r="S47" s="61"/>
    </row>
    <row r="48" spans="1:20" ht="27" customHeight="1" x14ac:dyDescent="0.3">
      <c r="A48" s="61"/>
      <c r="B48" s="238">
        <v>4.5999999999999996</v>
      </c>
      <c r="C48" s="1531" t="s">
        <v>492</v>
      </c>
      <c r="D48" s="1657"/>
      <c r="E48" s="1657"/>
      <c r="F48" s="1657"/>
      <c r="G48" s="1657"/>
      <c r="H48" s="1658"/>
      <c r="I48" s="1670"/>
      <c r="J48" s="1671"/>
      <c r="K48" s="1671"/>
      <c r="L48" s="1671"/>
      <c r="M48" s="1671"/>
      <c r="N48" s="1671"/>
      <c r="O48" s="1672"/>
      <c r="P48" s="1650"/>
      <c r="Q48" s="1651"/>
      <c r="R48" s="1652"/>
      <c r="S48" s="61"/>
    </row>
    <row r="49" spans="1:20" ht="27" customHeight="1" x14ac:dyDescent="0.3">
      <c r="A49" s="61"/>
      <c r="B49" s="238">
        <v>4.7</v>
      </c>
      <c r="C49" s="1531" t="s">
        <v>485</v>
      </c>
      <c r="D49" s="1657"/>
      <c r="E49" s="1657"/>
      <c r="F49" s="1657"/>
      <c r="G49" s="1657"/>
      <c r="H49" s="1658"/>
      <c r="I49" s="1670"/>
      <c r="J49" s="1671"/>
      <c r="K49" s="1671"/>
      <c r="L49" s="1671"/>
      <c r="M49" s="1671"/>
      <c r="N49" s="1671"/>
      <c r="O49" s="1672"/>
      <c r="P49" s="1650"/>
      <c r="Q49" s="1651"/>
      <c r="R49" s="1652"/>
      <c r="S49" s="61"/>
    </row>
    <row r="50" spans="1:20" ht="27" customHeight="1" thickBot="1" x14ac:dyDescent="0.35">
      <c r="A50" s="63"/>
      <c r="B50" s="238">
        <v>4.8</v>
      </c>
      <c r="C50" s="1502" t="s">
        <v>486</v>
      </c>
      <c r="D50" s="1502"/>
      <c r="E50" s="1502"/>
      <c r="F50" s="1502"/>
      <c r="G50" s="1502"/>
      <c r="H50" s="1502"/>
      <c r="I50" s="1670"/>
      <c r="J50" s="1671"/>
      <c r="K50" s="1671"/>
      <c r="L50" s="1671"/>
      <c r="M50" s="1671"/>
      <c r="N50" s="1671"/>
      <c r="O50" s="1672"/>
      <c r="P50" s="1650"/>
      <c r="Q50" s="1651"/>
      <c r="R50" s="1652"/>
      <c r="S50" s="63"/>
    </row>
    <row r="51" spans="1:20" ht="27" customHeight="1" thickBot="1" x14ac:dyDescent="0.35">
      <c r="A51" s="63"/>
      <c r="B51" s="238">
        <v>4.9000000000000004</v>
      </c>
      <c r="C51" s="1531"/>
      <c r="D51" s="1657"/>
      <c r="E51" s="1657"/>
      <c r="F51" s="1657"/>
      <c r="G51" s="1657"/>
      <c r="H51" s="1658"/>
      <c r="I51" s="1670"/>
      <c r="J51" s="1671"/>
      <c r="K51" s="1671"/>
      <c r="L51" s="1671"/>
      <c r="M51" s="1671"/>
      <c r="N51" s="1671"/>
      <c r="O51" s="1672"/>
      <c r="P51" s="1650"/>
      <c r="Q51" s="1651"/>
      <c r="R51" s="1652"/>
      <c r="S51" s="63"/>
    </row>
    <row r="52" spans="1:20" ht="27" customHeight="1" thickBot="1" x14ac:dyDescent="0.35">
      <c r="A52" s="63"/>
      <c r="B52" s="240" t="s">
        <v>75</v>
      </c>
      <c r="C52" s="1531"/>
      <c r="D52" s="1657"/>
      <c r="E52" s="1657"/>
      <c r="F52" s="1657"/>
      <c r="G52" s="1657"/>
      <c r="H52" s="1658"/>
      <c r="I52" s="1670"/>
      <c r="J52" s="1671"/>
      <c r="K52" s="1671"/>
      <c r="L52" s="1671"/>
      <c r="M52" s="1671"/>
      <c r="N52" s="1671"/>
      <c r="O52" s="1672"/>
      <c r="P52" s="1650"/>
      <c r="Q52" s="1651"/>
      <c r="R52" s="1652"/>
      <c r="S52" s="63"/>
    </row>
    <row r="53" spans="1:20" ht="27" customHeight="1" thickBot="1" x14ac:dyDescent="0.35">
      <c r="A53" s="63"/>
      <c r="B53" s="238">
        <v>4.1100000000000003</v>
      </c>
      <c r="C53" s="1531"/>
      <c r="D53" s="1657"/>
      <c r="E53" s="1657"/>
      <c r="F53" s="1657"/>
      <c r="G53" s="1657"/>
      <c r="H53" s="1658"/>
      <c r="I53" s="1673" t="s">
        <v>73</v>
      </c>
      <c r="J53" s="1674"/>
      <c r="K53" s="1674"/>
      <c r="L53" s="1674"/>
      <c r="M53" s="1674"/>
      <c r="N53" s="1674"/>
      <c r="O53" s="1675"/>
      <c r="P53" s="1666"/>
      <c r="Q53" s="1667"/>
      <c r="R53" s="1668"/>
      <c r="S53" s="63"/>
      <c r="T53"/>
    </row>
    <row r="54" spans="1:20" ht="27" customHeight="1" thickBot="1" x14ac:dyDescent="0.35">
      <c r="A54" s="63"/>
      <c r="B54" s="238">
        <v>4.12</v>
      </c>
      <c r="C54" s="1531"/>
      <c r="D54" s="1657"/>
      <c r="E54" s="1657"/>
      <c r="F54" s="1657"/>
      <c r="G54" s="1657"/>
      <c r="H54" s="1658"/>
      <c r="I54" s="1673" t="s">
        <v>73</v>
      </c>
      <c r="J54" s="1674"/>
      <c r="K54" s="1674"/>
      <c r="L54" s="1674"/>
      <c r="M54" s="1674"/>
      <c r="N54" s="1674"/>
      <c r="O54" s="1675"/>
      <c r="P54" s="1666"/>
      <c r="Q54" s="1667"/>
      <c r="R54" s="1668"/>
      <c r="S54" s="63"/>
      <c r="T54"/>
    </row>
    <row r="55" spans="1:20" ht="16.2" thickBot="1" x14ac:dyDescent="0.35">
      <c r="A55" s="63"/>
      <c r="B55" s="38"/>
      <c r="C55" s="38"/>
      <c r="D55" s="38"/>
      <c r="E55" s="38"/>
      <c r="F55" s="38"/>
      <c r="G55" s="38"/>
      <c r="H55" s="38"/>
      <c r="I55" s="38"/>
      <c r="J55" s="38"/>
      <c r="K55" s="38"/>
      <c r="L55" s="38"/>
      <c r="M55" s="38"/>
      <c r="N55" s="38"/>
      <c r="O55" s="38"/>
      <c r="P55" s="38"/>
      <c r="Q55" s="38"/>
      <c r="R55" s="38"/>
      <c r="S55" s="63"/>
      <c r="T55"/>
    </row>
    <row r="56" spans="1:20" s="2" customFormat="1" ht="27.9" customHeight="1" thickBot="1" x14ac:dyDescent="0.35">
      <c r="A56" s="63"/>
      <c r="B56" s="78">
        <v>5</v>
      </c>
      <c r="C56" s="1464" t="s">
        <v>82</v>
      </c>
      <c r="D56" s="1465"/>
      <c r="E56" s="1465"/>
      <c r="F56" s="1465"/>
      <c r="G56" s="1465"/>
      <c r="H56" s="1465"/>
      <c r="I56" s="1465"/>
      <c r="J56" s="1465"/>
      <c r="K56" s="1465"/>
      <c r="L56" s="1465"/>
      <c r="M56" s="1465"/>
      <c r="N56" s="1465"/>
      <c r="O56" s="1466"/>
      <c r="P56" s="1636"/>
      <c r="Q56" s="1636"/>
      <c r="R56" s="1636"/>
      <c r="S56" s="63"/>
      <c r="T56" s="5"/>
    </row>
    <row r="57" spans="1:20" ht="27" customHeight="1" thickBot="1" x14ac:dyDescent="0.35">
      <c r="A57" s="63"/>
      <c r="B57" s="227">
        <v>5.0999999999999996</v>
      </c>
      <c r="C57" s="1627" t="s">
        <v>487</v>
      </c>
      <c r="D57" s="1627"/>
      <c r="E57" s="1627"/>
      <c r="F57" s="1627"/>
      <c r="G57" s="1627"/>
      <c r="H57" s="1627"/>
      <c r="I57" s="1627"/>
      <c r="J57" s="1627"/>
      <c r="K57" s="1627"/>
      <c r="L57" s="1627"/>
      <c r="M57" s="1627"/>
      <c r="N57" s="1627"/>
      <c r="O57" s="1627"/>
      <c r="P57" s="1636"/>
      <c r="Q57" s="1636"/>
      <c r="R57" s="1636"/>
      <c r="S57" s="63"/>
      <c r="T57"/>
    </row>
    <row r="58" spans="1:20" ht="27" customHeight="1" thickBot="1" x14ac:dyDescent="0.35">
      <c r="A58" s="63"/>
      <c r="B58" s="227">
        <v>5.2</v>
      </c>
      <c r="C58" s="1627" t="s">
        <v>488</v>
      </c>
      <c r="D58" s="1627"/>
      <c r="E58" s="1627"/>
      <c r="F58" s="1627"/>
      <c r="G58" s="1627"/>
      <c r="H58" s="1627"/>
      <c r="I58" s="1627"/>
      <c r="J58" s="1627"/>
      <c r="K58" s="1627"/>
      <c r="L58" s="1627"/>
      <c r="M58" s="1627"/>
      <c r="N58" s="1627"/>
      <c r="O58" s="1627"/>
      <c r="P58" s="1636"/>
      <c r="Q58" s="1636"/>
      <c r="R58" s="1636"/>
      <c r="S58" s="63"/>
      <c r="T58"/>
    </row>
    <row r="59" spans="1:20" ht="27" customHeight="1" thickBot="1" x14ac:dyDescent="0.35">
      <c r="A59" s="63"/>
      <c r="B59" s="241">
        <v>5.3</v>
      </c>
      <c r="C59" s="1627" t="s">
        <v>489</v>
      </c>
      <c r="D59" s="1627"/>
      <c r="E59" s="1627"/>
      <c r="F59" s="1627"/>
      <c r="G59" s="1627"/>
      <c r="H59" s="1627"/>
      <c r="I59" s="1627"/>
      <c r="J59" s="1627"/>
      <c r="K59" s="1627"/>
      <c r="L59" s="1627"/>
      <c r="M59" s="1627"/>
      <c r="N59" s="1627"/>
      <c r="O59" s="1627"/>
      <c r="P59" s="1636"/>
      <c r="Q59" s="1636"/>
      <c r="R59" s="1636"/>
      <c r="S59" s="63"/>
      <c r="T59"/>
    </row>
    <row r="60" spans="1:20" ht="16.2" thickBot="1" x14ac:dyDescent="0.35">
      <c r="A60" s="63"/>
      <c r="B60" s="38"/>
      <c r="C60" s="38"/>
      <c r="D60" s="38"/>
      <c r="E60" s="38"/>
      <c r="F60" s="38"/>
      <c r="G60" s="38"/>
      <c r="H60" s="38"/>
      <c r="I60" s="38"/>
      <c r="J60" s="38"/>
      <c r="K60" s="38"/>
      <c r="L60" s="38"/>
      <c r="M60" s="38"/>
      <c r="N60" s="38"/>
      <c r="O60" s="38"/>
      <c r="P60" s="38"/>
      <c r="Q60" s="38"/>
      <c r="R60" s="38"/>
      <c r="S60" s="63"/>
      <c r="T60"/>
    </row>
    <row r="61" spans="1:20" s="2" customFormat="1" ht="27.9" customHeight="1" thickBot="1" x14ac:dyDescent="0.35">
      <c r="A61" s="63"/>
      <c r="B61" s="78">
        <v>6</v>
      </c>
      <c r="C61" s="1464" t="s">
        <v>433</v>
      </c>
      <c r="D61" s="1465"/>
      <c r="E61" s="1465"/>
      <c r="F61" s="1465"/>
      <c r="G61" s="1465"/>
      <c r="H61" s="1465"/>
      <c r="I61" s="1465"/>
      <c r="J61" s="1465"/>
      <c r="K61" s="1465"/>
      <c r="L61" s="1465"/>
      <c r="M61" s="1465"/>
      <c r="N61" s="1465"/>
      <c r="O61" s="1466"/>
      <c r="P61" s="1636"/>
      <c r="Q61" s="1636"/>
      <c r="R61" s="1636"/>
      <c r="S61" s="63"/>
      <c r="T61" s="5"/>
    </row>
    <row r="62" spans="1:20" ht="27" customHeight="1" thickBot="1" x14ac:dyDescent="0.35">
      <c r="A62" s="63"/>
      <c r="B62" s="227">
        <v>6.1</v>
      </c>
      <c r="C62" s="1627" t="s">
        <v>490</v>
      </c>
      <c r="D62" s="1627"/>
      <c r="E62" s="1627"/>
      <c r="F62" s="1627"/>
      <c r="G62" s="1627"/>
      <c r="H62" s="1627"/>
      <c r="I62" s="1627"/>
      <c r="J62" s="1627"/>
      <c r="K62" s="1627"/>
      <c r="L62" s="1627"/>
      <c r="M62" s="1627"/>
      <c r="N62" s="1627"/>
      <c r="O62" s="1627"/>
      <c r="P62" s="1636"/>
      <c r="Q62" s="1636"/>
      <c r="R62" s="1636"/>
      <c r="S62" s="63"/>
      <c r="T62"/>
    </row>
    <row r="63" spans="1:20" ht="27" customHeight="1" thickBot="1" x14ac:dyDescent="0.35">
      <c r="A63" s="63"/>
      <c r="B63" s="227">
        <v>6.2</v>
      </c>
      <c r="C63" s="1627" t="s">
        <v>434</v>
      </c>
      <c r="D63" s="1627"/>
      <c r="E63" s="1627"/>
      <c r="F63" s="1627"/>
      <c r="G63" s="1627"/>
      <c r="H63" s="1627"/>
      <c r="I63" s="1627"/>
      <c r="J63" s="1627"/>
      <c r="K63" s="1627"/>
      <c r="L63" s="1627"/>
      <c r="M63" s="1627"/>
      <c r="N63" s="1627"/>
      <c r="O63" s="1627"/>
      <c r="P63" s="1636"/>
      <c r="Q63" s="1636"/>
      <c r="R63" s="1636"/>
      <c r="S63" s="63"/>
      <c r="T63"/>
    </row>
    <row r="64" spans="1:20" ht="16.2" thickBot="1" x14ac:dyDescent="0.35">
      <c r="A64" s="63"/>
      <c r="B64" s="241">
        <v>6.3</v>
      </c>
      <c r="C64" s="1637" t="s">
        <v>449</v>
      </c>
      <c r="D64" s="1638"/>
      <c r="E64" s="1639"/>
      <c r="F64" s="1639"/>
      <c r="G64" s="1639"/>
      <c r="H64" s="1639"/>
      <c r="I64" s="1639"/>
      <c r="J64" s="1639"/>
      <c r="K64" s="1639"/>
      <c r="L64" s="1639"/>
      <c r="M64" s="1639"/>
      <c r="N64" s="1639"/>
      <c r="O64" s="1640"/>
      <c r="P64" s="1636"/>
      <c r="Q64" s="1636"/>
      <c r="R64" s="1636"/>
      <c r="S64" s="63"/>
      <c r="T64"/>
    </row>
    <row r="65" spans="1:20" ht="27" customHeight="1" thickBot="1" x14ac:dyDescent="0.35">
      <c r="A65" s="63"/>
      <c r="B65" s="227">
        <v>6.4</v>
      </c>
      <c r="C65" s="1627" t="s">
        <v>491</v>
      </c>
      <c r="D65" s="1627"/>
      <c r="E65" s="1627"/>
      <c r="F65" s="1627"/>
      <c r="G65" s="1627"/>
      <c r="H65" s="1627"/>
      <c r="I65" s="1627"/>
      <c r="J65" s="1627"/>
      <c r="K65" s="1627"/>
      <c r="L65" s="1627"/>
      <c r="M65" s="1627"/>
      <c r="N65" s="1627"/>
      <c r="O65" s="1627"/>
      <c r="P65" s="1636"/>
      <c r="Q65" s="1636"/>
      <c r="R65" s="1636"/>
      <c r="S65" s="63"/>
      <c r="T65"/>
    </row>
    <row r="66" spans="1:20" ht="16.2" thickBot="1" x14ac:dyDescent="0.35">
      <c r="A66" s="63"/>
      <c r="B66" s="297"/>
      <c r="C66" s="297"/>
      <c r="D66" s="297"/>
      <c r="E66" s="297"/>
      <c r="F66" s="297"/>
      <c r="G66" s="297"/>
      <c r="H66" s="297"/>
      <c r="I66" s="297"/>
      <c r="J66" s="297"/>
      <c r="K66" s="297"/>
      <c r="L66" s="297"/>
      <c r="M66" s="297"/>
      <c r="N66" s="297"/>
      <c r="O66" s="297"/>
      <c r="P66" s="297"/>
      <c r="Q66" s="297"/>
      <c r="R66" s="298"/>
      <c r="S66" s="63"/>
    </row>
    <row r="67" spans="1:20" s="2" customFormat="1" ht="27.9" customHeight="1" thickBot="1" x14ac:dyDescent="0.35">
      <c r="A67" s="63"/>
      <c r="B67" s="78">
        <v>7</v>
      </c>
      <c r="C67" s="1464" t="s">
        <v>450</v>
      </c>
      <c r="D67" s="1465"/>
      <c r="E67" s="1465"/>
      <c r="F67" s="1465"/>
      <c r="G67" s="1465"/>
      <c r="H67" s="1465"/>
      <c r="I67" s="1465"/>
      <c r="J67" s="1465"/>
      <c r="K67" s="1465"/>
      <c r="L67" s="1465"/>
      <c r="M67" s="1465"/>
      <c r="N67" s="1465"/>
      <c r="O67" s="1466"/>
      <c r="P67" s="1636"/>
      <c r="Q67" s="1636"/>
      <c r="R67" s="1636"/>
      <c r="S67" s="63"/>
      <c r="T67" s="5"/>
    </row>
    <row r="68" spans="1:20" ht="27" customHeight="1" thickBot="1" x14ac:dyDescent="0.35">
      <c r="A68" s="63"/>
      <c r="B68" s="227">
        <v>7.1</v>
      </c>
      <c r="C68" s="1627" t="s">
        <v>443</v>
      </c>
      <c r="D68" s="1627"/>
      <c r="E68" s="1627"/>
      <c r="F68" s="1627"/>
      <c r="G68" s="1627"/>
      <c r="H68" s="1627"/>
      <c r="I68" s="1627"/>
      <c r="J68" s="1627"/>
      <c r="K68" s="1627"/>
      <c r="L68" s="1627"/>
      <c r="M68" s="1627"/>
      <c r="N68" s="1627"/>
      <c r="O68" s="1627"/>
      <c r="P68" s="1636"/>
      <c r="Q68" s="1636"/>
      <c r="R68" s="1636"/>
      <c r="S68" s="63"/>
      <c r="T68"/>
    </row>
    <row r="69" spans="1:20" ht="27" customHeight="1" thickBot="1" x14ac:dyDescent="0.35">
      <c r="A69" s="63"/>
      <c r="B69" s="227">
        <v>7.2</v>
      </c>
      <c r="C69" s="1627" t="s">
        <v>444</v>
      </c>
      <c r="D69" s="1627"/>
      <c r="E69" s="1627"/>
      <c r="F69" s="1627"/>
      <c r="G69" s="1627"/>
      <c r="H69" s="1627"/>
      <c r="I69" s="1627"/>
      <c r="J69" s="1627"/>
      <c r="K69" s="1627"/>
      <c r="L69" s="1627"/>
      <c r="M69" s="1627"/>
      <c r="N69" s="1627"/>
      <c r="O69" s="1627"/>
      <c r="P69" s="1636"/>
      <c r="Q69" s="1636"/>
      <c r="R69" s="1636"/>
      <c r="S69" s="63"/>
      <c r="T69"/>
    </row>
    <row r="70" spans="1:20" ht="16.2" thickBot="1" x14ac:dyDescent="0.35">
      <c r="A70" s="63"/>
      <c r="B70" s="11"/>
      <c r="C70" s="11"/>
      <c r="D70" s="11"/>
      <c r="E70" s="11"/>
      <c r="F70" s="11"/>
      <c r="G70" s="11"/>
      <c r="H70" s="11"/>
      <c r="I70" s="11"/>
      <c r="J70" s="11"/>
      <c r="K70" s="11"/>
      <c r="L70" s="11"/>
      <c r="M70" s="11"/>
      <c r="N70" s="11"/>
      <c r="O70" s="11"/>
      <c r="P70" s="11"/>
      <c r="Q70" s="11"/>
      <c r="R70" s="299"/>
      <c r="S70" s="63"/>
    </row>
    <row r="71" spans="1:20" ht="16.2" thickBot="1" x14ac:dyDescent="0.35">
      <c r="A71" s="63"/>
      <c r="B71" s="63"/>
      <c r="C71" s="63"/>
      <c r="D71" s="63"/>
      <c r="E71" s="63"/>
      <c r="F71" s="63"/>
      <c r="G71" s="63"/>
      <c r="H71" s="63"/>
      <c r="I71" s="63"/>
      <c r="J71" s="63"/>
      <c r="K71" s="63"/>
      <c r="L71" s="63"/>
      <c r="M71" s="63"/>
      <c r="N71" s="63"/>
      <c r="O71" s="63"/>
      <c r="P71" s="63"/>
      <c r="Q71" s="63"/>
      <c r="R71" s="63"/>
      <c r="S71" s="63"/>
    </row>
  </sheetData>
  <mergeCells count="164">
    <mergeCell ref="C53:H53"/>
    <mergeCell ref="I53:O53"/>
    <mergeCell ref="P53:R53"/>
    <mergeCell ref="C54:H54"/>
    <mergeCell ref="I54:O54"/>
    <mergeCell ref="P54:R54"/>
    <mergeCell ref="C51:H51"/>
    <mergeCell ref="I51:O51"/>
    <mergeCell ref="P51:R51"/>
    <mergeCell ref="C52:H52"/>
    <mergeCell ref="I52:O52"/>
    <mergeCell ref="P52:R52"/>
    <mergeCell ref="C49:H49"/>
    <mergeCell ref="I49:O49"/>
    <mergeCell ref="P49:R49"/>
    <mergeCell ref="C50:H50"/>
    <mergeCell ref="I50:O50"/>
    <mergeCell ref="P50:R50"/>
    <mergeCell ref="C47:H47"/>
    <mergeCell ref="I47:O47"/>
    <mergeCell ref="P47:R47"/>
    <mergeCell ref="C48:H48"/>
    <mergeCell ref="I48:O48"/>
    <mergeCell ref="P48:R48"/>
    <mergeCell ref="I39:O39"/>
    <mergeCell ref="P39:R39"/>
    <mergeCell ref="C40:H40"/>
    <mergeCell ref="I40:O40"/>
    <mergeCell ref="P40:R40"/>
    <mergeCell ref="C38:H38"/>
    <mergeCell ref="I38:O38"/>
    <mergeCell ref="P38:R38"/>
    <mergeCell ref="C37:H37"/>
    <mergeCell ref="P32:R32"/>
    <mergeCell ref="P33:R33"/>
    <mergeCell ref="C34:H34"/>
    <mergeCell ref="C28:H28"/>
    <mergeCell ref="I28:O28"/>
    <mergeCell ref="P28:R28"/>
    <mergeCell ref="C45:H45"/>
    <mergeCell ref="I45:O45"/>
    <mergeCell ref="C46:H46"/>
    <mergeCell ref="I46:O46"/>
    <mergeCell ref="P45:R45"/>
    <mergeCell ref="P46:R46"/>
    <mergeCell ref="C36:H36"/>
    <mergeCell ref="I36:O36"/>
    <mergeCell ref="P36:R36"/>
    <mergeCell ref="C44:H44"/>
    <mergeCell ref="I44:O44"/>
    <mergeCell ref="P44:R44"/>
    <mergeCell ref="C43:H43"/>
    <mergeCell ref="I43:O43"/>
    <mergeCell ref="P43:R43"/>
    <mergeCell ref="I37:O37"/>
    <mergeCell ref="P37:R37"/>
    <mergeCell ref="C39:H39"/>
    <mergeCell ref="C29:H29"/>
    <mergeCell ref="I29:O29"/>
    <mergeCell ref="I22:O22"/>
    <mergeCell ref="I23:O23"/>
    <mergeCell ref="I24:O24"/>
    <mergeCell ref="I27:O27"/>
    <mergeCell ref="C27:H27"/>
    <mergeCell ref="P27:R27"/>
    <mergeCell ref="C35:H35"/>
    <mergeCell ref="I35:O35"/>
    <mergeCell ref="P35:R35"/>
    <mergeCell ref="I34:O34"/>
    <mergeCell ref="P34:R34"/>
    <mergeCell ref="P29:R29"/>
    <mergeCell ref="C30:H30"/>
    <mergeCell ref="I30:O30"/>
    <mergeCell ref="P30:R30"/>
    <mergeCell ref="C31:H31"/>
    <mergeCell ref="I31:O31"/>
    <mergeCell ref="P31:R31"/>
    <mergeCell ref="C32:H32"/>
    <mergeCell ref="I32:O32"/>
    <mergeCell ref="C33:H33"/>
    <mergeCell ref="I33:O33"/>
    <mergeCell ref="P14:R14"/>
    <mergeCell ref="P22:R22"/>
    <mergeCell ref="P23:R23"/>
    <mergeCell ref="P24:R24"/>
    <mergeCell ref="P20:R20"/>
    <mergeCell ref="I20:O20"/>
    <mergeCell ref="C20:H20"/>
    <mergeCell ref="P21:R21"/>
    <mergeCell ref="C21:H21"/>
    <mergeCell ref="I21:O21"/>
    <mergeCell ref="C7:H7"/>
    <mergeCell ref="C8:H8"/>
    <mergeCell ref="C9:H9"/>
    <mergeCell ref="C16:H16"/>
    <mergeCell ref="I16:O16"/>
    <mergeCell ref="P16:R16"/>
    <mergeCell ref="P17:R17"/>
    <mergeCell ref="P18:R18"/>
    <mergeCell ref="P19:R19"/>
    <mergeCell ref="P7:R7"/>
    <mergeCell ref="P8:R8"/>
    <mergeCell ref="C14:H14"/>
    <mergeCell ref="I14:O14"/>
    <mergeCell ref="I17:O17"/>
    <mergeCell ref="I18:O18"/>
    <mergeCell ref="I19:O19"/>
    <mergeCell ref="C17:H17"/>
    <mergeCell ref="C18:H18"/>
    <mergeCell ref="C19:H19"/>
    <mergeCell ref="C10:H10"/>
    <mergeCell ref="C11:H11"/>
    <mergeCell ref="C13:H13"/>
    <mergeCell ref="I13:O13"/>
    <mergeCell ref="P13:R13"/>
    <mergeCell ref="F3:R3"/>
    <mergeCell ref="C5:O5"/>
    <mergeCell ref="C6:H6"/>
    <mergeCell ref="C26:H26"/>
    <mergeCell ref="I26:O26"/>
    <mergeCell ref="P26:R26"/>
    <mergeCell ref="C42:H42"/>
    <mergeCell ref="I42:O42"/>
    <mergeCell ref="P42:R42"/>
    <mergeCell ref="I12:O12"/>
    <mergeCell ref="P5:R5"/>
    <mergeCell ref="P9:R9"/>
    <mergeCell ref="P10:R10"/>
    <mergeCell ref="P11:R11"/>
    <mergeCell ref="I7:O7"/>
    <mergeCell ref="I8:O8"/>
    <mergeCell ref="I9:O9"/>
    <mergeCell ref="I10:O10"/>
    <mergeCell ref="I11:O11"/>
    <mergeCell ref="C22:H22"/>
    <mergeCell ref="C23:H23"/>
    <mergeCell ref="C24:H24"/>
    <mergeCell ref="P12:R12"/>
    <mergeCell ref="C12:H12"/>
    <mergeCell ref="C59:O59"/>
    <mergeCell ref="P59:R59"/>
    <mergeCell ref="P56:R56"/>
    <mergeCell ref="C57:O57"/>
    <mergeCell ref="P57:R57"/>
    <mergeCell ref="C58:O58"/>
    <mergeCell ref="P58:R58"/>
    <mergeCell ref="C56:O56"/>
    <mergeCell ref="C61:O61"/>
    <mergeCell ref="P61:R61"/>
    <mergeCell ref="C67:O67"/>
    <mergeCell ref="P67:R67"/>
    <mergeCell ref="C68:O68"/>
    <mergeCell ref="P68:R68"/>
    <mergeCell ref="C69:O69"/>
    <mergeCell ref="P69:R69"/>
    <mergeCell ref="C62:O62"/>
    <mergeCell ref="P62:R62"/>
    <mergeCell ref="C63:O63"/>
    <mergeCell ref="P63:R63"/>
    <mergeCell ref="P65:R65"/>
    <mergeCell ref="C64:D64"/>
    <mergeCell ref="E64:O64"/>
    <mergeCell ref="P64:R64"/>
    <mergeCell ref="C65:O65"/>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88035-7834-478C-867A-69E7611986DE}">
  <sheetPr>
    <tabColor theme="6" tint="0.39997558519241921"/>
  </sheetPr>
  <dimension ref="B2:AR70"/>
  <sheetViews>
    <sheetView topLeftCell="A2" zoomScaleNormal="100" zoomScalePageLayoutView="125" workbookViewId="0">
      <selection activeCell="AM26" sqref="AM26:AO26"/>
    </sheetView>
  </sheetViews>
  <sheetFormatPr defaultColWidth="3.09765625" defaultRowHeight="15.6" x14ac:dyDescent="0.3"/>
  <cols>
    <col min="1" max="1" width="6.59765625" customWidth="1"/>
    <col min="9" max="9" width="7.8984375" bestFit="1" customWidth="1"/>
    <col min="30" max="30" width="3.8984375" customWidth="1"/>
    <col min="31" max="32" width="2.8984375" customWidth="1"/>
    <col min="33" max="33" width="3.5" customWidth="1"/>
    <col min="34" max="34" width="2.59765625" customWidth="1"/>
    <col min="35" max="35" width="2.3984375" customWidth="1"/>
    <col min="36" max="36" width="4.3984375" customWidth="1"/>
    <col min="37" max="37" width="2.59765625" customWidth="1"/>
    <col min="38" max="38" width="2.3984375" customWidth="1"/>
    <col min="40" max="40" width="2.59765625" customWidth="1"/>
    <col min="41" max="41" width="2.5" customWidth="1"/>
    <col min="44" max="44" width="2.3984375" customWidth="1"/>
  </cols>
  <sheetData>
    <row r="2" spans="2:44" x14ac:dyDescent="0.3">
      <c r="E2" t="s">
        <v>451</v>
      </c>
    </row>
    <row r="3" spans="2:44" x14ac:dyDescent="0.3">
      <c r="E3" t="s">
        <v>452</v>
      </c>
    </row>
    <row r="4" spans="2:44" ht="21" x14ac:dyDescent="0.4">
      <c r="E4" s="1383" t="s">
        <v>1935</v>
      </c>
    </row>
    <row r="5" spans="2:44" ht="21" x14ac:dyDescent="0.4">
      <c r="E5" s="1383" t="s">
        <v>1936</v>
      </c>
    </row>
    <row r="7" spans="2:44" x14ac:dyDescent="0.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2:44" x14ac:dyDescent="0.3">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2:44" ht="12.9" customHeight="1" x14ac:dyDescent="0.3">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2:44" s="16" customFormat="1" x14ac:dyDescent="0.3">
      <c r="B10" s="147"/>
      <c r="C10" s="147"/>
      <c r="D10" s="147"/>
      <c r="E10" s="147"/>
      <c r="F10" s="147"/>
      <c r="G10" s="1680"/>
      <c r="H10" s="1680"/>
      <c r="I10" s="1680"/>
      <c r="J10" s="1680"/>
      <c r="K10" s="1680"/>
      <c r="L10" s="1680"/>
      <c r="M10" s="1680"/>
      <c r="N10" s="1680"/>
      <c r="O10" s="1680"/>
      <c r="P10" s="1680"/>
      <c r="Q10" s="1680"/>
      <c r="R10" s="1381"/>
      <c r="T10" s="20"/>
      <c r="U10" s="20"/>
      <c r="V10" s="1680"/>
      <c r="W10" s="1680"/>
      <c r="X10" s="1680"/>
      <c r="Y10" s="1680"/>
      <c r="Z10" s="1680"/>
      <c r="AA10" s="1680"/>
      <c r="AB10" s="1680"/>
      <c r="AC10" s="1680"/>
      <c r="AE10" s="20"/>
      <c r="AF10" s="20"/>
      <c r="AG10" s="1680"/>
      <c r="AH10" s="1680"/>
      <c r="AJ10" s="20"/>
      <c r="AK10" s="20"/>
      <c r="AL10" s="20"/>
      <c r="AM10" s="1680"/>
      <c r="AN10" s="1680"/>
      <c r="AO10" s="1680"/>
      <c r="AP10" s="1680"/>
      <c r="AQ10" s="1680"/>
      <c r="AR10" s="1381"/>
    </row>
    <row r="11" spans="2:44" ht="0.9" customHeight="1" x14ac:dyDescent="0.3">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2:44" x14ac:dyDescent="0.3">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2:44" ht="22.5" customHeight="1" x14ac:dyDescent="0.3">
      <c r="B13" s="16"/>
      <c r="C13" s="16"/>
      <c r="D13" s="16"/>
      <c r="E13" s="16"/>
      <c r="F13" s="16"/>
      <c r="G13" s="16"/>
      <c r="H13" s="16"/>
      <c r="I13" s="1681" t="str">
        <f>IF(ISTEXT('Cover Sheet'!C5),'Cover Sheet'!C5," ")</f>
        <v xml:space="preserve"> </v>
      </c>
      <c r="J13" s="1681"/>
      <c r="K13" s="1681"/>
      <c r="L13" s="1681"/>
      <c r="M13" s="1681"/>
      <c r="N13" s="1681"/>
      <c r="O13" s="1681"/>
      <c r="P13" s="1681"/>
      <c r="Q13" s="1681"/>
      <c r="R13" s="1681"/>
      <c r="S13" s="1681"/>
      <c r="T13" s="1681"/>
      <c r="U13" s="1681"/>
      <c r="V13" s="281"/>
      <c r="W13" s="281"/>
      <c r="X13" s="281"/>
      <c r="Y13" s="281"/>
      <c r="Z13" s="1681" t="str">
        <f>IF(ISTEXT('Cover Sheet'!E7),'Cover Sheet'!E7," ")</f>
        <v xml:space="preserve"> </v>
      </c>
      <c r="AA13" s="1681"/>
      <c r="AB13" s="1681"/>
      <c r="AC13" s="1681"/>
      <c r="AD13" s="1681"/>
      <c r="AE13" s="1681"/>
      <c r="AF13" s="1681"/>
      <c r="AG13" s="282"/>
      <c r="AH13" s="282"/>
      <c r="AI13" s="1681" t="str">
        <f>IF(ISTEXT('Cover Sheet'!F7),'Cover Sheet'!F7," ")</f>
        <v xml:space="preserve"> </v>
      </c>
      <c r="AJ13" s="1681"/>
      <c r="AK13" s="282"/>
      <c r="AL13" s="1681" t="str">
        <f>IF(ISNUMBER('Cover Sheet'!G7),'Cover Sheet'!G7," ")</f>
        <v xml:space="preserve"> </v>
      </c>
      <c r="AM13" s="1681"/>
      <c r="AN13" s="1681"/>
      <c r="AO13" s="1681"/>
      <c r="AP13" s="16"/>
      <c r="AQ13" s="16"/>
      <c r="AR13" s="16"/>
    </row>
    <row r="14" spans="2:44" x14ac:dyDescent="0.3">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2:44" x14ac:dyDescent="0.3">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2:44" ht="18.899999999999999" customHeight="1" x14ac:dyDescent="0.3">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ht="2.1" customHeight="1" x14ac:dyDescent="0.3">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ht="27.9" customHeight="1" x14ac:dyDescent="0.3">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80"/>
      <c r="AH18" s="1680"/>
      <c r="AI18" s="1680"/>
      <c r="AJ18" s="1680"/>
      <c r="AK18" s="1680"/>
      <c r="AL18" s="1680"/>
      <c r="AM18" s="1680"/>
      <c r="AN18" s="1680"/>
      <c r="AO18" s="1680"/>
      <c r="AP18" s="1680"/>
      <c r="AQ18" s="1680"/>
      <c r="AR18" s="1680"/>
    </row>
    <row r="19" spans="2:44" ht="28.5" customHeight="1" x14ac:dyDescent="0.3">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80"/>
      <c r="AH19" s="1680"/>
      <c r="AI19" s="1680"/>
      <c r="AJ19" s="1680"/>
      <c r="AK19" s="1680"/>
      <c r="AL19" s="1680"/>
      <c r="AM19" s="1680"/>
      <c r="AN19" s="1680"/>
      <c r="AO19" s="1680"/>
      <c r="AP19" s="1680"/>
      <c r="AQ19" s="1680"/>
      <c r="AR19" s="1680"/>
    </row>
    <row r="20" spans="2:44" ht="15.75" customHeight="1" x14ac:dyDescent="0.3">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80"/>
      <c r="AH20" s="1680"/>
      <c r="AI20" s="1680"/>
      <c r="AK20" s="282" t="s">
        <v>415</v>
      </c>
      <c r="AL20" s="282"/>
      <c r="AM20" s="1680"/>
      <c r="AN20" s="1680"/>
      <c r="AO20" s="1680"/>
      <c r="AP20" s="1680"/>
      <c r="AQ20" s="1680"/>
      <c r="AR20" s="1680"/>
    </row>
    <row r="21" spans="2:44" ht="21.75" customHeight="1" x14ac:dyDescent="0.3">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80"/>
      <c r="AH21" s="1680"/>
      <c r="AI21" s="1680"/>
      <c r="AJ21" s="1680"/>
      <c r="AK21" s="1680"/>
      <c r="AL21" s="1680"/>
      <c r="AM21" s="1680"/>
      <c r="AN21" s="1680"/>
      <c r="AO21" s="1680"/>
    </row>
    <row r="22" spans="2:44" ht="17.25" customHeight="1" x14ac:dyDescent="0.3">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80"/>
      <c r="AH22" s="1680"/>
      <c r="AI22" s="1680"/>
      <c r="AJ22" s="1680"/>
      <c r="AK22" s="1680"/>
      <c r="AL22" s="1680"/>
      <c r="AM22" s="1680"/>
      <c r="AN22" s="1680"/>
      <c r="AO22" s="1680"/>
    </row>
    <row r="23" spans="2:44" ht="11.25" customHeight="1" x14ac:dyDescent="0.3">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80"/>
      <c r="AH23" s="1680"/>
      <c r="AI23" s="1680"/>
      <c r="AJ23" s="1680"/>
      <c r="AK23" s="1680"/>
      <c r="AL23" s="1680"/>
      <c r="AM23" s="1680"/>
      <c r="AN23" s="1680"/>
      <c r="AO23" s="1680"/>
    </row>
    <row r="24" spans="2:44" ht="15.75" customHeight="1" x14ac:dyDescent="0.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80"/>
      <c r="AH24" s="1680"/>
      <c r="AI24" s="1680"/>
      <c r="AJ24" s="1680"/>
      <c r="AK24" s="1680"/>
      <c r="AL24" s="1680"/>
      <c r="AM24" s="1680"/>
      <c r="AN24" s="1680"/>
      <c r="AO24" s="1680"/>
    </row>
    <row r="25" spans="2:44" ht="12" customHeight="1" x14ac:dyDescent="0.3">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80"/>
      <c r="AH25" s="1680"/>
      <c r="AI25" s="1680"/>
      <c r="AJ25" s="1680"/>
      <c r="AK25" s="1680"/>
      <c r="AL25" s="1680"/>
      <c r="AM25" s="1680"/>
      <c r="AN25" s="1680"/>
      <c r="AO25" s="1680"/>
    </row>
    <row r="26" spans="2:44" ht="15" customHeight="1" x14ac:dyDescent="0.3">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80"/>
      <c r="AH26" s="1680"/>
      <c r="AI26" s="1680"/>
      <c r="AJ26" s="1680"/>
      <c r="AK26" s="1680"/>
      <c r="AL26" s="1680"/>
      <c r="AM26" s="1680"/>
      <c r="AN26" s="1680"/>
      <c r="AO26" s="1680"/>
    </row>
    <row r="27" spans="2:44" ht="9.75" customHeight="1" x14ac:dyDescent="0.3">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80"/>
      <c r="AH27" s="1680"/>
      <c r="AI27" s="1680"/>
      <c r="AJ27" s="1680"/>
      <c r="AK27" s="1680"/>
      <c r="AL27" s="1680"/>
      <c r="AM27" s="1680"/>
      <c r="AN27" s="1680"/>
      <c r="AO27" s="1680"/>
    </row>
    <row r="28" spans="2:44" ht="12" customHeight="1" x14ac:dyDescent="0.3">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80"/>
      <c r="AH28" s="1680"/>
      <c r="AI28" s="1680"/>
      <c r="AJ28" s="1680"/>
      <c r="AK28" s="1680"/>
      <c r="AL28" s="1680"/>
      <c r="AM28" s="1680"/>
      <c r="AN28" s="1680"/>
      <c r="AO28" s="1680"/>
    </row>
    <row r="29" spans="2:44" ht="13.5" customHeight="1" x14ac:dyDescent="0.3">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80"/>
      <c r="AH29" s="1680"/>
      <c r="AI29" s="1680"/>
      <c r="AJ29" s="1680"/>
      <c r="AK29" s="1680"/>
      <c r="AL29" s="1680"/>
      <c r="AM29" s="1680"/>
      <c r="AN29" s="1680"/>
      <c r="AO29" s="1680"/>
    </row>
    <row r="30" spans="2:44" ht="15" customHeight="1" x14ac:dyDescent="0.3">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80"/>
      <c r="AH30" s="1680"/>
      <c r="AI30" s="1680"/>
      <c r="AJ30" s="1680"/>
      <c r="AK30" s="1680"/>
      <c r="AL30" s="1680"/>
      <c r="AM30" s="1680"/>
      <c r="AN30" s="1680"/>
      <c r="AO30" s="1680"/>
    </row>
    <row r="31" spans="2:44" ht="17.25" customHeight="1" x14ac:dyDescent="0.3">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80"/>
      <c r="AH31" s="1680"/>
      <c r="AI31" s="1680"/>
      <c r="AJ31" s="1680"/>
      <c r="AK31" s="1680"/>
      <c r="AL31" s="1680"/>
      <c r="AM31" s="1680"/>
      <c r="AN31" s="1680"/>
      <c r="AO31" s="1680"/>
    </row>
    <row r="32" spans="2:44" ht="15" customHeight="1" x14ac:dyDescent="0.3">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80"/>
      <c r="AH32" s="1680"/>
      <c r="AI32" s="1680"/>
      <c r="AJ32" s="1680"/>
      <c r="AK32" s="1680"/>
      <c r="AL32" s="1680"/>
      <c r="AM32" s="1680"/>
      <c r="AN32" s="1680"/>
      <c r="AO32" s="1680"/>
    </row>
    <row r="33" spans="2:44" ht="21" customHeight="1" x14ac:dyDescent="0.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80"/>
      <c r="AH33" s="1680"/>
      <c r="AI33" s="1680"/>
      <c r="AJ33" s="1680"/>
      <c r="AK33" s="1680"/>
      <c r="AL33" s="1680"/>
      <c r="AM33" s="1680"/>
      <c r="AN33" s="1680"/>
      <c r="AO33" s="1680"/>
    </row>
    <row r="34" spans="2:44" ht="16.5" customHeight="1" x14ac:dyDescent="0.3">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80"/>
      <c r="AH34" s="1680"/>
      <c r="AI34" s="1680"/>
      <c r="AJ34" s="1680"/>
      <c r="AK34" s="1680"/>
      <c r="AL34" s="1680"/>
      <c r="AM34" s="1680"/>
      <c r="AN34" s="1680"/>
      <c r="AO34" s="1680"/>
    </row>
    <row r="35" spans="2:44" ht="21.9" customHeight="1" x14ac:dyDescent="0.3">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80"/>
      <c r="AH35" s="1680"/>
      <c r="AI35" s="1680"/>
      <c r="AJ35" s="1680"/>
      <c r="AK35" s="1680"/>
      <c r="AL35" s="1680"/>
      <c r="AM35" s="1680"/>
      <c r="AN35" s="1680"/>
      <c r="AO35" s="1680"/>
    </row>
    <row r="36" spans="2:44" ht="15" customHeight="1" x14ac:dyDescent="0.3">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80"/>
      <c r="AH36" s="1680"/>
      <c r="AI36" s="1680"/>
      <c r="AJ36" s="1680"/>
      <c r="AK36" s="1680"/>
      <c r="AL36" s="1680"/>
      <c r="AM36" s="1680"/>
      <c r="AN36" s="1680"/>
      <c r="AO36" s="1680"/>
    </row>
    <row r="37" spans="2:44" ht="14.25" customHeight="1" x14ac:dyDescent="0.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80"/>
      <c r="AH37" s="1680"/>
      <c r="AI37" s="1680"/>
      <c r="AJ37" s="1680"/>
      <c r="AK37" s="1680"/>
      <c r="AL37" s="1680"/>
      <c r="AM37" s="1680"/>
      <c r="AN37" s="1680"/>
      <c r="AO37" s="1680"/>
    </row>
    <row r="38" spans="2:44" ht="14.25" customHeight="1" x14ac:dyDescent="0.3">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80"/>
      <c r="AH38" s="1680"/>
      <c r="AI38" s="1680"/>
      <c r="AJ38" s="1680"/>
      <c r="AK38" s="1680"/>
      <c r="AL38" s="1680"/>
      <c r="AM38" s="1680"/>
      <c r="AN38" s="1680"/>
      <c r="AO38" s="1680"/>
    </row>
    <row r="39" spans="2:44" ht="21" hidden="1" customHeight="1" x14ac:dyDescent="0.3">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80"/>
      <c r="AH39" s="1680"/>
      <c r="AI39" s="1680"/>
      <c r="AJ39" s="1680"/>
      <c r="AK39" s="1680"/>
      <c r="AL39" s="1680"/>
      <c r="AM39" s="1680"/>
      <c r="AN39" s="1680"/>
      <c r="AO39" s="1680"/>
    </row>
    <row r="40" spans="2:44" ht="13.5" customHeight="1" x14ac:dyDescent="0.3">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80"/>
      <c r="AH40" s="1680"/>
      <c r="AI40" s="1680"/>
      <c r="AJ40" s="1680"/>
      <c r="AK40" s="1680"/>
      <c r="AL40" s="1680"/>
      <c r="AM40" s="1680"/>
      <c r="AN40" s="1680"/>
      <c r="AO40" s="1680"/>
    </row>
    <row r="41" spans="2:44" ht="15" customHeight="1" x14ac:dyDescent="0.3">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80"/>
      <c r="AH41" s="1680"/>
      <c r="AI41" s="1680"/>
      <c r="AJ41" s="1680"/>
      <c r="AK41" s="1680"/>
      <c r="AL41" s="1680"/>
      <c r="AM41" s="1680"/>
      <c r="AN41" s="1680"/>
      <c r="AO41" s="1680"/>
    </row>
    <row r="42" spans="2:44" ht="15.75" customHeight="1" x14ac:dyDescent="0.3">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80"/>
      <c r="AH42" s="1680"/>
      <c r="AI42" s="1680"/>
      <c r="AJ42" s="1680"/>
      <c r="AK42" s="1680"/>
      <c r="AL42" s="1680"/>
      <c r="AM42" s="1680"/>
      <c r="AN42" s="1680"/>
      <c r="AO42" s="1680"/>
    </row>
    <row r="43" spans="2:44" ht="15" customHeight="1" x14ac:dyDescent="0.3">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ht="18" customHeight="1" x14ac:dyDescent="0.3">
      <c r="B44" s="1682"/>
      <c r="C44" s="1682"/>
      <c r="D44" s="1682"/>
      <c r="E44" s="1682"/>
      <c r="F44" s="1682"/>
      <c r="G44" s="1682"/>
      <c r="H44" s="1680"/>
      <c r="I44" s="1680"/>
      <c r="J44" s="1680"/>
      <c r="K44" s="1680"/>
      <c r="L44" s="1680"/>
      <c r="M44" s="1680"/>
      <c r="N44" s="1680"/>
      <c r="O44" s="1680"/>
      <c r="P44" s="1680"/>
      <c r="Q44" s="1680"/>
      <c r="R44" s="1680"/>
      <c r="S44" s="1680"/>
      <c r="T44" s="1680"/>
      <c r="U44" s="1680"/>
      <c r="V44" s="1680"/>
      <c r="W44" s="1680"/>
      <c r="X44" s="1680"/>
      <c r="Y44" s="1680"/>
      <c r="Z44" s="1680"/>
      <c r="AA44" s="1680"/>
      <c r="AB44" s="1680"/>
      <c r="AC44" s="1680"/>
      <c r="AD44" s="1680"/>
      <c r="AE44" s="1680"/>
      <c r="AF44" s="1680"/>
      <c r="AG44" s="1680"/>
      <c r="AH44" s="1680"/>
      <c r="AI44" s="1680"/>
      <c r="AJ44" s="1680"/>
      <c r="AK44" s="1680"/>
      <c r="AL44" s="1680"/>
      <c r="AM44" s="1680"/>
      <c r="AN44" s="1680"/>
      <c r="AO44" s="1680"/>
      <c r="AP44" s="1680"/>
      <c r="AQ44" s="1680"/>
      <c r="AR44" s="1680"/>
    </row>
    <row r="45" spans="2:44" ht="15" customHeight="1" x14ac:dyDescent="0.3">
      <c r="B45" s="16"/>
      <c r="C45" s="16"/>
      <c r="D45" s="16"/>
      <c r="E45" s="16"/>
      <c r="F45" s="280"/>
      <c r="G45" s="280"/>
      <c r="H45" s="1680"/>
      <c r="I45" s="1680"/>
      <c r="J45" s="1680"/>
      <c r="K45" s="1680"/>
      <c r="L45" s="1680"/>
      <c r="M45" s="1680"/>
      <c r="N45" s="1680"/>
      <c r="O45" s="1680"/>
      <c r="P45" s="1680"/>
      <c r="Q45" s="1680"/>
      <c r="R45" s="1680"/>
      <c r="S45" s="280"/>
      <c r="T45" s="280"/>
      <c r="U45" s="280"/>
      <c r="V45" s="280"/>
      <c r="W45" s="280"/>
      <c r="X45" s="280"/>
      <c r="Y45" s="280"/>
      <c r="Z45" s="280"/>
      <c r="AA45" s="280"/>
      <c r="AB45" s="280"/>
      <c r="AC45" s="280"/>
      <c r="AD45" s="1680"/>
      <c r="AE45" s="1680"/>
      <c r="AF45" s="1680"/>
      <c r="AG45" s="1680"/>
      <c r="AH45" s="280"/>
      <c r="AI45" s="280"/>
      <c r="AJ45" s="280"/>
      <c r="AK45" s="280"/>
      <c r="AL45" s="280"/>
      <c r="AM45" s="280"/>
      <c r="AN45" s="1680"/>
      <c r="AO45" s="1680"/>
      <c r="AP45" s="1680"/>
      <c r="AQ45" s="1680"/>
      <c r="AR45" s="1680"/>
    </row>
    <row r="46" spans="2:44" ht="9" customHeight="1" x14ac:dyDescent="0.3">
      <c r="B46" s="1682"/>
      <c r="C46" s="1682"/>
      <c r="D46" s="1682"/>
      <c r="E46" s="1682"/>
      <c r="F46" s="1682"/>
      <c r="G46" s="1682"/>
      <c r="H46" s="1680"/>
      <c r="I46" s="1680"/>
      <c r="J46" s="1680"/>
      <c r="K46" s="1680"/>
      <c r="L46" s="1680"/>
      <c r="M46" s="1680"/>
      <c r="N46" s="1680"/>
      <c r="O46" s="1680"/>
      <c r="P46" s="1680"/>
      <c r="Q46" s="1680"/>
      <c r="R46" s="1680"/>
      <c r="S46" s="1680"/>
      <c r="T46" s="1680"/>
      <c r="U46" s="1680"/>
      <c r="V46" s="1680"/>
      <c r="W46" s="1680"/>
      <c r="X46" s="1680"/>
      <c r="Y46" s="1680"/>
      <c r="Z46" s="1680"/>
      <c r="AA46" s="1680"/>
      <c r="AB46" s="1680"/>
      <c r="AC46" s="1680"/>
      <c r="AD46" s="1680"/>
      <c r="AE46" s="1680"/>
      <c r="AF46" s="1680"/>
      <c r="AG46" s="1680"/>
      <c r="AH46" s="1680"/>
      <c r="AI46" s="1680"/>
      <c r="AJ46" s="1680"/>
      <c r="AK46" s="1680"/>
      <c r="AL46" s="1680"/>
      <c r="AM46" s="1680"/>
      <c r="AN46" s="1680"/>
      <c r="AO46" s="1680"/>
      <c r="AP46" s="1680"/>
      <c r="AQ46" s="1680"/>
      <c r="AR46" s="1680"/>
    </row>
    <row r="47" spans="2:44" x14ac:dyDescent="0.3">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ht="11.25" customHeight="1" x14ac:dyDescent="0.3">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50" ht="15" customHeight="1" x14ac:dyDescent="0.3"/>
    <row r="51" ht="13.5" customHeight="1" x14ac:dyDescent="0.3"/>
    <row r="53" ht="14.25" customHeight="1" x14ac:dyDescent="0.3"/>
    <row r="56" ht="9.75" customHeight="1" x14ac:dyDescent="0.3"/>
    <row r="57" ht="16.5" customHeight="1" x14ac:dyDescent="0.3"/>
    <row r="59" ht="10.5" customHeight="1" x14ac:dyDescent="0.3"/>
    <row r="60" ht="15" customHeight="1" x14ac:dyDescent="0.3"/>
    <row r="61" ht="20.25" customHeight="1" x14ac:dyDescent="0.3"/>
    <row r="62" ht="6.75" customHeight="1" x14ac:dyDescent="0.3"/>
    <row r="64" ht="4.5" customHeight="1" x14ac:dyDescent="0.3"/>
    <row r="65" spans="9:41" ht="14.25" customHeight="1" x14ac:dyDescent="0.3"/>
    <row r="66" spans="9:41" ht="15" customHeight="1" x14ac:dyDescent="0.3"/>
    <row r="67" spans="9:41" ht="20.25" customHeight="1" x14ac:dyDescent="0.35">
      <c r="I67" s="22" t="str">
        <f>IF(ISTEXT('Cover Sheet'!I5),'Cover Sheet'!I5,"")</f>
        <v/>
      </c>
      <c r="J67" s="22"/>
      <c r="K67" s="22"/>
      <c r="L67" s="22"/>
      <c r="M67" s="22"/>
      <c r="N67" s="22"/>
      <c r="O67" s="22"/>
      <c r="P67" s="22"/>
      <c r="Q67" s="22"/>
      <c r="R67" s="22"/>
      <c r="S67" s="22"/>
      <c r="T67" s="22"/>
      <c r="U67" s="22"/>
      <c r="V67" s="22"/>
      <c r="W67" s="22"/>
      <c r="X67" s="22"/>
      <c r="Y67" s="22"/>
      <c r="Z67" s="22"/>
      <c r="AA67" s="22" t="str">
        <f>IF(ISTEXT('Cover Sheet'!J7),'Cover Sheet'!J7,"")</f>
        <v/>
      </c>
    </row>
    <row r="68" spans="9:41" ht="30" customHeight="1" x14ac:dyDescent="0.35">
      <c r="I68" s="22" t="str">
        <f>IF(ISTEXT('Cover Sheet'!H5),'Cover Sheet'!H5,"")</f>
        <v/>
      </c>
      <c r="J68" s="22"/>
      <c r="K68" s="22"/>
      <c r="L68" s="22"/>
      <c r="M68" s="22"/>
      <c r="N68" s="22"/>
      <c r="O68" s="22"/>
      <c r="P68" s="22"/>
      <c r="Q68" s="22"/>
      <c r="R68" s="22"/>
      <c r="S68" s="22"/>
      <c r="T68" s="22"/>
      <c r="U68" s="22"/>
      <c r="V68" s="22"/>
      <c r="W68" s="22"/>
      <c r="X68" s="22"/>
      <c r="Y68" s="22"/>
      <c r="Z68" s="22"/>
      <c r="AA68" s="22" t="str">
        <f>IF(ISTEXT('Cover Sheet'!K7),'Cover Sheet'!K7,"")</f>
        <v/>
      </c>
    </row>
    <row r="69" spans="9:41" ht="32.25" customHeight="1" x14ac:dyDescent="0.35">
      <c r="Q69" s="1683">
        <f ca="1">TODAY()</f>
        <v>44657</v>
      </c>
      <c r="R69" s="1683"/>
      <c r="S69" s="1683"/>
      <c r="T69" s="1683"/>
      <c r="U69" s="1683"/>
      <c r="V69" s="1683"/>
      <c r="AJ69" s="1684">
        <f ca="1">TODAY()</f>
        <v>44657</v>
      </c>
      <c r="AK69" s="1684"/>
      <c r="AL69" s="1684"/>
      <c r="AM69" s="1684"/>
      <c r="AN69" s="1684"/>
      <c r="AO69" s="1684"/>
    </row>
    <row r="70" spans="9:41" ht="17.25" customHeight="1" x14ac:dyDescent="0.3"/>
  </sheetData>
  <mergeCells count="102">
    <mergeCell ref="Q69:V69"/>
    <mergeCell ref="AJ69:AO69"/>
    <mergeCell ref="H45:R45"/>
    <mergeCell ref="AD45:AG45"/>
    <mergeCell ref="AN45:AR45"/>
    <mergeCell ref="B46:G46"/>
    <mergeCell ref="H46:R46"/>
    <mergeCell ref="S46:AC46"/>
    <mergeCell ref="AD46:AG46"/>
    <mergeCell ref="AH46:AM46"/>
    <mergeCell ref="AN46:AR46"/>
    <mergeCell ref="AG42:AI42"/>
    <mergeCell ref="AJ42:AL42"/>
    <mergeCell ref="AM42:AO42"/>
    <mergeCell ref="B44:G44"/>
    <mergeCell ref="H44:R44"/>
    <mergeCell ref="S44:AC44"/>
    <mergeCell ref="AD44:AG44"/>
    <mergeCell ref="AH44:AM44"/>
    <mergeCell ref="AN44:AR44"/>
    <mergeCell ref="AG40:AI40"/>
    <mergeCell ref="AJ40:AL40"/>
    <mergeCell ref="AM40:AO40"/>
    <mergeCell ref="AG41:AI41"/>
    <mergeCell ref="AJ41:AL41"/>
    <mergeCell ref="AM41:AO41"/>
    <mergeCell ref="AG38:AI38"/>
    <mergeCell ref="AJ38:AL38"/>
    <mergeCell ref="AM38:AO38"/>
    <mergeCell ref="AG39:AI39"/>
    <mergeCell ref="AJ39:AL39"/>
    <mergeCell ref="AM39:AO39"/>
    <mergeCell ref="AG36:AI36"/>
    <mergeCell ref="AJ36:AL36"/>
    <mergeCell ref="AM36:AO36"/>
    <mergeCell ref="AG37:AI37"/>
    <mergeCell ref="AJ37:AL37"/>
    <mergeCell ref="AM37:AO37"/>
    <mergeCell ref="AG34:AI34"/>
    <mergeCell ref="AJ34:AL34"/>
    <mergeCell ref="AM34:AO34"/>
    <mergeCell ref="AG35:AI35"/>
    <mergeCell ref="AJ35:AL35"/>
    <mergeCell ref="AM35:AO35"/>
    <mergeCell ref="AG32:AI32"/>
    <mergeCell ref="AJ32:AL32"/>
    <mergeCell ref="AM32:AO32"/>
    <mergeCell ref="AG33:AI33"/>
    <mergeCell ref="AJ33:AL33"/>
    <mergeCell ref="AM33:AO33"/>
    <mergeCell ref="AG30:AI30"/>
    <mergeCell ref="AJ30:AL30"/>
    <mergeCell ref="AM30:AO30"/>
    <mergeCell ref="AG31:AI31"/>
    <mergeCell ref="AJ31:AL31"/>
    <mergeCell ref="AM31:AO31"/>
    <mergeCell ref="AG28:AI28"/>
    <mergeCell ref="AJ28:AL28"/>
    <mergeCell ref="AM28:AO28"/>
    <mergeCell ref="AG29:AI29"/>
    <mergeCell ref="AJ29:AL29"/>
    <mergeCell ref="AM29:AO29"/>
    <mergeCell ref="AG26:AI26"/>
    <mergeCell ref="AJ26:AL26"/>
    <mergeCell ref="AM26:AO26"/>
    <mergeCell ref="AG27:AI27"/>
    <mergeCell ref="AJ27:AL27"/>
    <mergeCell ref="AM27:AO27"/>
    <mergeCell ref="AG24:AI24"/>
    <mergeCell ref="AJ24:AL24"/>
    <mergeCell ref="AM24:AO24"/>
    <mergeCell ref="AG25:AI25"/>
    <mergeCell ref="AJ25:AL25"/>
    <mergeCell ref="AM25:AO25"/>
    <mergeCell ref="AG22:AI22"/>
    <mergeCell ref="AJ22:AL22"/>
    <mergeCell ref="AM22:AO22"/>
    <mergeCell ref="AG23:AI23"/>
    <mergeCell ref="AJ23:AL23"/>
    <mergeCell ref="AM23:AO23"/>
    <mergeCell ref="AG21:AI21"/>
    <mergeCell ref="AJ21:AL21"/>
    <mergeCell ref="AM21:AO21"/>
    <mergeCell ref="AG18:AI18"/>
    <mergeCell ref="AJ18:AL18"/>
    <mergeCell ref="AM18:AO18"/>
    <mergeCell ref="AP18:AR18"/>
    <mergeCell ref="AG19:AI19"/>
    <mergeCell ref="AJ19:AL19"/>
    <mergeCell ref="AM19:AO19"/>
    <mergeCell ref="AP19:AR19"/>
    <mergeCell ref="G10:Q10"/>
    <mergeCell ref="V10:AC10"/>
    <mergeCell ref="AG10:AH10"/>
    <mergeCell ref="AM10:AQ10"/>
    <mergeCell ref="I13:U13"/>
    <mergeCell ref="Z13:AF13"/>
    <mergeCell ref="AI13:AJ13"/>
    <mergeCell ref="AL13:AO13"/>
    <mergeCell ref="AG20:AI20"/>
    <mergeCell ref="AM20:AO20"/>
    <mergeCell ref="AP20:AR20"/>
  </mergeCells>
  <pageMargins left="0.75" right="0.75" top="1" bottom="1" header="0.5" footer="0.5"/>
  <pageSetup scale="56" orientation="portrait" horizontalDpi="4294967292" verticalDpi="4294967292" r:id="rId1"/>
  <colBreaks count="1" manualBreakCount="1">
    <brk id="4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B2:AR70"/>
  <sheetViews>
    <sheetView topLeftCell="B4" zoomScaleNormal="100" zoomScalePageLayoutView="125" workbookViewId="0">
      <selection activeCell="W21" sqref="W21"/>
    </sheetView>
  </sheetViews>
  <sheetFormatPr defaultColWidth="3.09765625" defaultRowHeight="15.6" x14ac:dyDescent="0.3"/>
  <cols>
    <col min="1" max="1" width="6.59765625" customWidth="1"/>
    <col min="9" max="9" width="7.8984375" bestFit="1" customWidth="1"/>
    <col min="30" max="30" width="3.8984375" customWidth="1"/>
    <col min="31" max="32" width="2.8984375" customWidth="1"/>
    <col min="33" max="33" width="3.5" customWidth="1"/>
    <col min="34" max="34" width="2.59765625" customWidth="1"/>
    <col min="35" max="35" width="2.3984375" customWidth="1"/>
    <col min="36" max="36" width="4.3984375" customWidth="1"/>
    <col min="37" max="37" width="2.59765625" customWidth="1"/>
    <col min="38" max="38" width="2.3984375" customWidth="1"/>
    <col min="40" max="40" width="2.59765625" customWidth="1"/>
    <col min="41" max="41" width="2.5" customWidth="1"/>
    <col min="44" max="44" width="2.3984375" customWidth="1"/>
  </cols>
  <sheetData>
    <row r="2" spans="2:44" x14ac:dyDescent="0.3">
      <c r="E2" s="828" t="s">
        <v>1948</v>
      </c>
    </row>
    <row r="4" spans="2:44" ht="21" x14ac:dyDescent="0.4">
      <c r="E4" s="1383" t="s">
        <v>1939</v>
      </c>
    </row>
    <row r="5" spans="2:44" ht="21" x14ac:dyDescent="0.4">
      <c r="E5" s="1383" t="s">
        <v>1940</v>
      </c>
    </row>
    <row r="7" spans="2:44" x14ac:dyDescent="0.3">
      <c r="B7" s="16"/>
      <c r="C7" s="16"/>
      <c r="D7" s="16"/>
      <c r="E7" s="16" t="s">
        <v>1941</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2:44" x14ac:dyDescent="0.3">
      <c r="B8" s="16"/>
      <c r="C8" s="16"/>
      <c r="D8" s="16"/>
      <c r="E8" s="1384" t="s">
        <v>1943</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2:44" ht="12.9" customHeight="1" x14ac:dyDescent="0.3">
      <c r="B9" s="16"/>
      <c r="C9" s="16"/>
      <c r="D9" s="16"/>
      <c r="E9" s="16" t="s">
        <v>1942</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2:44" s="16" customFormat="1" x14ac:dyDescent="0.3">
      <c r="B10" s="147"/>
      <c r="C10" s="147"/>
      <c r="D10" s="147"/>
      <c r="E10" s="147"/>
      <c r="F10" s="147"/>
      <c r="G10" s="1680"/>
      <c r="H10" s="1680"/>
      <c r="I10" s="1680"/>
      <c r="J10" s="1680"/>
      <c r="K10" s="1680"/>
      <c r="L10" s="1680"/>
      <c r="M10" s="1680"/>
      <c r="N10" s="1680"/>
      <c r="O10" s="1680"/>
      <c r="P10" s="1680"/>
      <c r="Q10" s="1680"/>
      <c r="R10" s="21"/>
      <c r="T10" s="20"/>
      <c r="U10" s="20"/>
      <c r="V10" s="1680"/>
      <c r="W10" s="1680"/>
      <c r="X10" s="1680"/>
      <c r="Y10" s="1680"/>
      <c r="Z10" s="1680"/>
      <c r="AA10" s="1680"/>
      <c r="AB10" s="1680"/>
      <c r="AC10" s="1680"/>
      <c r="AE10" s="20"/>
      <c r="AF10" s="20"/>
      <c r="AG10" s="1680"/>
      <c r="AH10" s="1680"/>
      <c r="AJ10" s="20"/>
      <c r="AK10" s="20"/>
      <c r="AL10" s="20"/>
      <c r="AM10" s="1680"/>
      <c r="AN10" s="1680"/>
      <c r="AO10" s="1680"/>
      <c r="AP10" s="1680"/>
      <c r="AQ10" s="1680"/>
      <c r="AR10" s="21"/>
    </row>
    <row r="11" spans="2:44" ht="0.9" customHeight="1" x14ac:dyDescent="0.3">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2:44" x14ac:dyDescent="0.3">
      <c r="B12" s="16"/>
      <c r="C12" s="16"/>
      <c r="D12" s="16"/>
      <c r="E12" s="1385" t="s">
        <v>1944</v>
      </c>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6"/>
      <c r="AH12" s="16"/>
      <c r="AI12" s="16"/>
      <c r="AJ12" s="16"/>
      <c r="AK12" s="16"/>
      <c r="AL12" s="16"/>
      <c r="AM12" s="16"/>
      <c r="AN12" s="16"/>
      <c r="AO12" s="16"/>
      <c r="AP12" s="16"/>
      <c r="AQ12" s="16"/>
      <c r="AR12" s="16"/>
    </row>
    <row r="13" spans="2:44" ht="22.5" customHeight="1" x14ac:dyDescent="0.3">
      <c r="B13" s="16"/>
      <c r="C13" s="16"/>
      <c r="D13" s="16"/>
      <c r="E13" s="147" t="s">
        <v>1945</v>
      </c>
      <c r="F13" s="147"/>
      <c r="G13" s="147"/>
      <c r="H13" s="147"/>
      <c r="I13" s="1386"/>
      <c r="J13" s="1386"/>
      <c r="K13" s="1386"/>
      <c r="L13" s="1386"/>
      <c r="M13" s="1386"/>
      <c r="N13" s="1386"/>
      <c r="O13" s="1386"/>
      <c r="P13" s="1386"/>
      <c r="Q13" s="1386"/>
      <c r="R13" s="1386"/>
      <c r="S13" s="1386"/>
      <c r="T13" s="1386"/>
      <c r="U13" s="1386"/>
      <c r="V13" s="1387"/>
      <c r="W13" s="1387"/>
      <c r="X13" s="1387"/>
      <c r="Y13" s="1387"/>
      <c r="Z13" s="1386"/>
      <c r="AA13" s="1386"/>
      <c r="AB13" s="1386"/>
      <c r="AC13" s="1386"/>
      <c r="AD13" s="1386"/>
      <c r="AE13" s="1386"/>
      <c r="AF13" s="1386"/>
      <c r="AG13" s="282"/>
      <c r="AH13" s="282"/>
      <c r="AI13" s="1382"/>
      <c r="AJ13" s="1382"/>
      <c r="AK13" s="282"/>
      <c r="AL13" s="1382"/>
      <c r="AM13" s="1382"/>
      <c r="AN13" s="1382"/>
      <c r="AO13" s="1382"/>
      <c r="AP13" s="16"/>
      <c r="AQ13" s="16"/>
      <c r="AR13" s="16"/>
    </row>
    <row r="14" spans="2:44" x14ac:dyDescent="0.3">
      <c r="B14" s="16"/>
      <c r="C14" s="16"/>
      <c r="D14" s="16"/>
      <c r="E14" s="148" t="s">
        <v>1947</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2:44" x14ac:dyDescent="0.3">
      <c r="B15" s="16"/>
      <c r="C15" s="16"/>
      <c r="D15" s="16"/>
      <c r="E15" s="16" t="s">
        <v>1946</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2:44" ht="18.899999999999999" customHeight="1" x14ac:dyDescent="0.3">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ht="2.1" customHeight="1" x14ac:dyDescent="0.3">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ht="27.9" customHeight="1" x14ac:dyDescent="0.3">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80"/>
      <c r="AH18" s="1680"/>
      <c r="AI18" s="1680"/>
      <c r="AJ18" s="1680"/>
      <c r="AK18" s="1680"/>
      <c r="AL18" s="1680"/>
      <c r="AM18" s="1680"/>
      <c r="AN18" s="1680"/>
      <c r="AO18" s="1680"/>
      <c r="AP18" s="1680"/>
      <c r="AQ18" s="1680"/>
      <c r="AR18" s="1680"/>
    </row>
    <row r="19" spans="2:44" ht="28.5" customHeight="1" x14ac:dyDescent="0.3">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80"/>
      <c r="AH19" s="1680"/>
      <c r="AI19" s="1680"/>
      <c r="AJ19" s="1680"/>
      <c r="AK19" s="1680"/>
      <c r="AL19" s="1680"/>
      <c r="AM19" s="1680"/>
      <c r="AN19" s="1680"/>
      <c r="AO19" s="1680"/>
      <c r="AP19" s="1680"/>
      <c r="AQ19" s="1680"/>
      <c r="AR19" s="1680"/>
    </row>
    <row r="20" spans="2:44" ht="15.75" customHeight="1" x14ac:dyDescent="0.3">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80"/>
      <c r="AH20" s="1680"/>
      <c r="AI20" s="1680"/>
      <c r="AK20" s="282"/>
      <c r="AL20" s="282"/>
      <c r="AM20" s="1680"/>
      <c r="AN20" s="1680"/>
      <c r="AO20" s="1680"/>
      <c r="AP20" s="1680"/>
      <c r="AQ20" s="1680"/>
      <c r="AR20" s="1680"/>
    </row>
    <row r="21" spans="2:44" ht="21.75" customHeight="1" x14ac:dyDescent="0.3">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80"/>
      <c r="AH21" s="1680"/>
      <c r="AI21" s="1680"/>
      <c r="AJ21" s="1680"/>
      <c r="AK21" s="1680"/>
      <c r="AL21" s="1680"/>
      <c r="AM21" s="1680"/>
      <c r="AN21" s="1680"/>
      <c r="AO21" s="1680"/>
    </row>
    <row r="22" spans="2:44" ht="17.25" customHeight="1" x14ac:dyDescent="0.3">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80"/>
      <c r="AH22" s="1680"/>
      <c r="AI22" s="1680"/>
      <c r="AJ22" s="1680"/>
      <c r="AK22" s="1680"/>
      <c r="AL22" s="1680"/>
      <c r="AM22" s="1680"/>
      <c r="AN22" s="1680"/>
      <c r="AO22" s="1680"/>
    </row>
    <row r="23" spans="2:44" ht="11.25" customHeight="1" x14ac:dyDescent="0.3">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80"/>
      <c r="AH23" s="1680"/>
      <c r="AI23" s="1680"/>
      <c r="AJ23" s="1680"/>
      <c r="AK23" s="1680"/>
      <c r="AL23" s="1680"/>
      <c r="AM23" s="1680"/>
      <c r="AN23" s="1680"/>
      <c r="AO23" s="1680"/>
    </row>
    <row r="24" spans="2:44" ht="15.75" customHeight="1" x14ac:dyDescent="0.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80"/>
      <c r="AH24" s="1680"/>
      <c r="AI24" s="1680"/>
      <c r="AJ24" s="1680"/>
      <c r="AK24" s="1680"/>
      <c r="AL24" s="1680"/>
      <c r="AM24" s="1680"/>
      <c r="AN24" s="1680"/>
      <c r="AO24" s="1680"/>
    </row>
    <row r="25" spans="2:44" ht="12" customHeight="1" x14ac:dyDescent="0.3">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80"/>
      <c r="AH25" s="1680"/>
      <c r="AI25" s="1680"/>
      <c r="AJ25" s="1680"/>
      <c r="AK25" s="1680"/>
      <c r="AL25" s="1680"/>
      <c r="AM25" s="1680"/>
      <c r="AN25" s="1680"/>
      <c r="AO25" s="1680"/>
    </row>
    <row r="26" spans="2:44" ht="15" customHeight="1" x14ac:dyDescent="0.3">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80"/>
      <c r="AH26" s="1680"/>
      <c r="AI26" s="1680"/>
      <c r="AJ26" s="1680"/>
      <c r="AK26" s="1680"/>
      <c r="AL26" s="1680"/>
      <c r="AM26" s="1680"/>
      <c r="AN26" s="1680"/>
      <c r="AO26" s="1680"/>
    </row>
    <row r="27" spans="2:44" ht="9.75" customHeight="1" x14ac:dyDescent="0.3">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80"/>
      <c r="AH27" s="1680"/>
      <c r="AI27" s="1680"/>
      <c r="AJ27" s="1680"/>
      <c r="AK27" s="1680"/>
      <c r="AL27" s="1680"/>
      <c r="AM27" s="1680"/>
      <c r="AN27" s="1680"/>
      <c r="AO27" s="1680"/>
    </row>
    <row r="28" spans="2:44" ht="12" customHeight="1" x14ac:dyDescent="0.3">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80"/>
      <c r="AH28" s="1680"/>
      <c r="AI28" s="1680"/>
      <c r="AJ28" s="1680"/>
      <c r="AK28" s="1680"/>
      <c r="AL28" s="1680"/>
      <c r="AM28" s="1680"/>
      <c r="AN28" s="1680"/>
      <c r="AO28" s="1680"/>
    </row>
    <row r="29" spans="2:44" ht="13.5" customHeight="1" x14ac:dyDescent="0.3">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80"/>
      <c r="AH29" s="1680"/>
      <c r="AI29" s="1680"/>
      <c r="AJ29" s="1680"/>
      <c r="AK29" s="1680"/>
      <c r="AL29" s="1680"/>
      <c r="AM29" s="1680"/>
      <c r="AN29" s="1680"/>
      <c r="AO29" s="1680"/>
    </row>
    <row r="30" spans="2:44" ht="15" customHeight="1" x14ac:dyDescent="0.3">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80"/>
      <c r="AH30" s="1680"/>
      <c r="AI30" s="1680"/>
      <c r="AJ30" s="1680"/>
      <c r="AK30" s="1680"/>
      <c r="AL30" s="1680"/>
      <c r="AM30" s="1680"/>
      <c r="AN30" s="1680"/>
      <c r="AO30" s="1680"/>
    </row>
    <row r="31" spans="2:44" ht="17.25" customHeight="1" x14ac:dyDescent="0.3">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80"/>
      <c r="AH31" s="1680"/>
      <c r="AI31" s="1680"/>
      <c r="AJ31" s="1680"/>
      <c r="AK31" s="1680"/>
      <c r="AL31" s="1680"/>
      <c r="AM31" s="1680"/>
      <c r="AN31" s="1680"/>
      <c r="AO31" s="1680"/>
    </row>
    <row r="32" spans="2:44" ht="15" customHeight="1" x14ac:dyDescent="0.3">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80"/>
      <c r="AH32" s="1680"/>
      <c r="AI32" s="1680"/>
      <c r="AJ32" s="1680"/>
      <c r="AK32" s="1680"/>
      <c r="AL32" s="1680"/>
      <c r="AM32" s="1680"/>
      <c r="AN32" s="1680"/>
      <c r="AO32" s="1680"/>
    </row>
    <row r="33" spans="2:44" ht="21" customHeight="1" x14ac:dyDescent="0.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80"/>
      <c r="AH33" s="1680"/>
      <c r="AI33" s="1680"/>
      <c r="AJ33" s="1680"/>
      <c r="AK33" s="1680"/>
      <c r="AL33" s="1680"/>
      <c r="AM33" s="1680"/>
      <c r="AN33" s="1680"/>
      <c r="AO33" s="1680"/>
    </row>
    <row r="34" spans="2:44" ht="16.5" customHeight="1" x14ac:dyDescent="0.3">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80"/>
      <c r="AH34" s="1680"/>
      <c r="AI34" s="1680"/>
      <c r="AJ34" s="1680"/>
      <c r="AK34" s="1680"/>
      <c r="AL34" s="1680"/>
      <c r="AM34" s="1680"/>
      <c r="AN34" s="1680"/>
      <c r="AO34" s="1680"/>
    </row>
    <row r="35" spans="2:44" ht="21.9" customHeight="1" x14ac:dyDescent="0.3">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80"/>
      <c r="AH35" s="1680"/>
      <c r="AI35" s="1680"/>
      <c r="AJ35" s="1680"/>
      <c r="AK35" s="1680"/>
      <c r="AL35" s="1680"/>
      <c r="AM35" s="1680"/>
      <c r="AN35" s="1680"/>
      <c r="AO35" s="1680"/>
    </row>
    <row r="36" spans="2:44" ht="15" customHeight="1" x14ac:dyDescent="0.3">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80"/>
      <c r="AH36" s="1680"/>
      <c r="AI36" s="1680"/>
      <c r="AJ36" s="1680"/>
      <c r="AK36" s="1680"/>
      <c r="AL36" s="1680"/>
      <c r="AM36" s="1680"/>
      <c r="AN36" s="1680"/>
      <c r="AO36" s="1680"/>
    </row>
    <row r="37" spans="2:44" ht="14.25" customHeight="1" x14ac:dyDescent="0.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80"/>
      <c r="AH37" s="1680"/>
      <c r="AI37" s="1680"/>
      <c r="AJ37" s="1680"/>
      <c r="AK37" s="1680"/>
      <c r="AL37" s="1680"/>
      <c r="AM37" s="1680"/>
      <c r="AN37" s="1680"/>
      <c r="AO37" s="1680"/>
    </row>
    <row r="38" spans="2:44" ht="14.25" customHeight="1" x14ac:dyDescent="0.3">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80"/>
      <c r="AH38" s="1680"/>
      <c r="AI38" s="1680"/>
      <c r="AJ38" s="1680"/>
      <c r="AK38" s="1680"/>
      <c r="AL38" s="1680"/>
      <c r="AM38" s="1680"/>
      <c r="AN38" s="1680"/>
      <c r="AO38" s="1680"/>
    </row>
    <row r="39" spans="2:44" ht="21" hidden="1" customHeight="1" x14ac:dyDescent="0.3">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80"/>
      <c r="AH39" s="1680"/>
      <c r="AI39" s="1680"/>
      <c r="AJ39" s="1680"/>
      <c r="AK39" s="1680"/>
      <c r="AL39" s="1680"/>
      <c r="AM39" s="1680"/>
      <c r="AN39" s="1680"/>
      <c r="AO39" s="1680"/>
    </row>
    <row r="40" spans="2:44" ht="13.5" customHeight="1" x14ac:dyDescent="0.3">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80"/>
      <c r="AH40" s="1680"/>
      <c r="AI40" s="1680"/>
      <c r="AJ40" s="1680"/>
      <c r="AK40" s="1680"/>
      <c r="AL40" s="1680"/>
      <c r="AM40" s="1680"/>
      <c r="AN40" s="1680"/>
      <c r="AO40" s="1680"/>
    </row>
    <row r="41" spans="2:44" ht="15" customHeight="1" x14ac:dyDescent="0.3">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80"/>
      <c r="AH41" s="1680"/>
      <c r="AI41" s="1680"/>
      <c r="AJ41" s="1680"/>
      <c r="AK41" s="1680"/>
      <c r="AL41" s="1680"/>
      <c r="AM41" s="1680"/>
      <c r="AN41" s="1680"/>
      <c r="AO41" s="1680"/>
    </row>
    <row r="42" spans="2:44" ht="15.75" customHeight="1" x14ac:dyDescent="0.3">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80"/>
      <c r="AH42" s="1680"/>
      <c r="AI42" s="1680"/>
      <c r="AJ42" s="1680"/>
      <c r="AK42" s="1680"/>
      <c r="AL42" s="1680"/>
      <c r="AM42" s="1680"/>
      <c r="AN42" s="1680"/>
      <c r="AO42" s="1680"/>
    </row>
    <row r="43" spans="2:44" ht="15" customHeight="1" x14ac:dyDescent="0.3">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ht="18" customHeight="1" x14ac:dyDescent="0.3">
      <c r="B44" s="1682"/>
      <c r="C44" s="1682"/>
      <c r="D44" s="1682"/>
      <c r="E44" s="1682"/>
      <c r="F44" s="1682"/>
      <c r="G44" s="1682"/>
      <c r="H44" s="1680"/>
      <c r="I44" s="1680"/>
      <c r="J44" s="1680"/>
      <c r="K44" s="1680"/>
      <c r="L44" s="1680"/>
      <c r="M44" s="1680"/>
      <c r="N44" s="1680"/>
      <c r="O44" s="1680"/>
      <c r="P44" s="1680"/>
      <c r="Q44" s="1680"/>
      <c r="R44" s="1680"/>
      <c r="S44" s="1680"/>
      <c r="T44" s="1680"/>
      <c r="U44" s="1680"/>
      <c r="V44" s="1680"/>
      <c r="W44" s="1680"/>
      <c r="X44" s="1680"/>
      <c r="Y44" s="1680"/>
      <c r="Z44" s="1680"/>
      <c r="AA44" s="1680"/>
      <c r="AB44" s="1680"/>
      <c r="AC44" s="1680"/>
      <c r="AD44" s="1680"/>
      <c r="AE44" s="1680"/>
      <c r="AF44" s="1680"/>
      <c r="AG44" s="1680"/>
      <c r="AH44" s="1680"/>
      <c r="AI44" s="1680"/>
      <c r="AJ44" s="1680"/>
      <c r="AK44" s="1680"/>
      <c r="AL44" s="1680"/>
      <c r="AM44" s="1680"/>
      <c r="AN44" s="1680"/>
      <c r="AO44" s="1680"/>
      <c r="AP44" s="1680"/>
      <c r="AQ44" s="1680"/>
      <c r="AR44" s="1680"/>
    </row>
    <row r="45" spans="2:44" ht="15" customHeight="1" x14ac:dyDescent="0.3">
      <c r="B45" s="16"/>
      <c r="C45" s="16"/>
      <c r="D45" s="16"/>
      <c r="E45" s="16"/>
      <c r="F45" s="280"/>
      <c r="G45" s="280"/>
      <c r="H45" s="1680"/>
      <c r="I45" s="1680"/>
      <c r="J45" s="1680"/>
      <c r="K45" s="1680"/>
      <c r="L45" s="1680"/>
      <c r="M45" s="1680"/>
      <c r="N45" s="1680"/>
      <c r="O45" s="1680"/>
      <c r="P45" s="1680"/>
      <c r="Q45" s="1680"/>
      <c r="R45" s="1680"/>
      <c r="S45" s="280"/>
      <c r="T45" s="280"/>
      <c r="U45" s="280"/>
      <c r="V45" s="280"/>
      <c r="W45" s="280"/>
      <c r="X45" s="280"/>
      <c r="Y45" s="280"/>
      <c r="Z45" s="280"/>
      <c r="AA45" s="280"/>
      <c r="AB45" s="280"/>
      <c r="AC45" s="280"/>
      <c r="AD45" s="1680"/>
      <c r="AE45" s="1680"/>
      <c r="AF45" s="1680"/>
      <c r="AG45" s="1680"/>
      <c r="AH45" s="280"/>
      <c r="AI45" s="280"/>
      <c r="AJ45" s="280"/>
      <c r="AK45" s="280"/>
      <c r="AL45" s="280"/>
      <c r="AM45" s="280"/>
      <c r="AN45" s="1680"/>
      <c r="AO45" s="1680"/>
      <c r="AP45" s="1680"/>
      <c r="AQ45" s="1680"/>
      <c r="AR45" s="1680"/>
    </row>
    <row r="46" spans="2:44" ht="9" customHeight="1" x14ac:dyDescent="0.3">
      <c r="B46" s="1682"/>
      <c r="C46" s="1682"/>
      <c r="D46" s="1682"/>
      <c r="E46" s="1682"/>
      <c r="F46" s="1682"/>
      <c r="G46" s="1682"/>
      <c r="H46" s="1680"/>
      <c r="I46" s="1680"/>
      <c r="J46" s="1680"/>
      <c r="K46" s="1680"/>
      <c r="L46" s="1680"/>
      <c r="M46" s="1680"/>
      <c r="N46" s="1680"/>
      <c r="O46" s="1680"/>
      <c r="P46" s="1680"/>
      <c r="Q46" s="1680"/>
      <c r="R46" s="1680"/>
      <c r="S46" s="1680"/>
      <c r="T46" s="1680"/>
      <c r="U46" s="1680"/>
      <c r="V46" s="1680"/>
      <c r="W46" s="1680"/>
      <c r="X46" s="1680"/>
      <c r="Y46" s="1680"/>
      <c r="Z46" s="1680"/>
      <c r="AA46" s="1680"/>
      <c r="AB46" s="1680"/>
      <c r="AC46" s="1680"/>
      <c r="AD46" s="1680"/>
      <c r="AE46" s="1680"/>
      <c r="AF46" s="1680"/>
      <c r="AG46" s="1680"/>
      <c r="AH46" s="1680"/>
      <c r="AI46" s="1680"/>
      <c r="AJ46" s="1680"/>
      <c r="AK46" s="1680"/>
      <c r="AL46" s="1680"/>
      <c r="AM46" s="1680"/>
      <c r="AN46" s="1680"/>
      <c r="AO46" s="1680"/>
      <c r="AP46" s="1680"/>
      <c r="AQ46" s="1680"/>
      <c r="AR46" s="1680"/>
    </row>
    <row r="47" spans="2:44" x14ac:dyDescent="0.3">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ht="11.25" customHeight="1" x14ac:dyDescent="0.3">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50" ht="15" customHeight="1" x14ac:dyDescent="0.3"/>
    <row r="51" ht="13.5" customHeight="1" x14ac:dyDescent="0.3"/>
    <row r="53" ht="14.25" customHeight="1" x14ac:dyDescent="0.3"/>
    <row r="56" ht="9.75" customHeight="1" x14ac:dyDescent="0.3"/>
    <row r="57" ht="16.5" customHeight="1" x14ac:dyDescent="0.3"/>
    <row r="59" ht="10.5" customHeight="1" x14ac:dyDescent="0.3"/>
    <row r="60" ht="15" customHeight="1" x14ac:dyDescent="0.3"/>
    <row r="61" ht="20.25" customHeight="1" x14ac:dyDescent="0.3"/>
    <row r="62" ht="6.75" customHeight="1" x14ac:dyDescent="0.3"/>
    <row r="64" ht="4.5" customHeight="1" x14ac:dyDescent="0.3"/>
    <row r="65" spans="9:41" ht="14.25" customHeight="1" x14ac:dyDescent="0.3"/>
    <row r="66" spans="9:41" ht="15" customHeight="1" x14ac:dyDescent="0.3"/>
    <row r="67" spans="9:41" ht="20.25" customHeight="1" x14ac:dyDescent="0.35">
      <c r="I67" s="22" t="str">
        <f>IF(ISTEXT('Cover Sheet'!I5),'Cover Sheet'!I5,"")</f>
        <v/>
      </c>
      <c r="J67" s="22"/>
      <c r="K67" s="22"/>
      <c r="L67" s="22"/>
      <c r="M67" s="22"/>
      <c r="N67" s="22"/>
      <c r="O67" s="22"/>
      <c r="P67" s="22"/>
      <c r="Q67" s="22"/>
      <c r="R67" s="22"/>
      <c r="S67" s="22"/>
      <c r="T67" s="22"/>
      <c r="U67" s="22"/>
      <c r="V67" s="22"/>
      <c r="W67" s="22"/>
      <c r="X67" s="22"/>
      <c r="Y67" s="22"/>
      <c r="Z67" s="22"/>
      <c r="AA67" s="22" t="str">
        <f>IF(ISTEXT('Cover Sheet'!J7),'Cover Sheet'!J7,"")</f>
        <v/>
      </c>
    </row>
    <row r="68" spans="9:41" ht="30" customHeight="1" x14ac:dyDescent="0.35">
      <c r="I68" s="22" t="str">
        <f>IF(ISTEXT('Cover Sheet'!H5),'Cover Sheet'!H5,"")</f>
        <v/>
      </c>
      <c r="J68" s="22"/>
      <c r="K68" s="22"/>
      <c r="L68" s="22"/>
      <c r="M68" s="22"/>
      <c r="N68" s="22"/>
      <c r="O68" s="22"/>
      <c r="P68" s="22"/>
      <c r="Q68" s="22"/>
      <c r="R68" s="22"/>
      <c r="S68" s="22"/>
      <c r="T68" s="22"/>
      <c r="U68" s="22"/>
      <c r="V68" s="22"/>
      <c r="W68" s="22"/>
      <c r="X68" s="22"/>
      <c r="Y68" s="22"/>
      <c r="Z68" s="22"/>
      <c r="AA68" s="22" t="str">
        <f>IF(ISTEXT('Cover Sheet'!K7),'Cover Sheet'!K7,"")</f>
        <v/>
      </c>
    </row>
    <row r="69" spans="9:41" ht="32.25" customHeight="1" x14ac:dyDescent="0.35">
      <c r="Q69" s="1683">
        <f ca="1">TODAY()</f>
        <v>44657</v>
      </c>
      <c r="R69" s="1683"/>
      <c r="S69" s="1683"/>
      <c r="T69" s="1683"/>
      <c r="U69" s="1683"/>
      <c r="V69" s="1683"/>
      <c r="AJ69" s="1684">
        <f ca="1">TODAY()</f>
        <v>44657</v>
      </c>
      <c r="AK69" s="1684"/>
      <c r="AL69" s="1684"/>
      <c r="AM69" s="1684"/>
      <c r="AN69" s="1684"/>
      <c r="AO69" s="1684"/>
    </row>
    <row r="70" spans="9:41" ht="17.25" customHeight="1" x14ac:dyDescent="0.3"/>
  </sheetData>
  <mergeCells count="98">
    <mergeCell ref="AG21:AI21"/>
    <mergeCell ref="AJ21:AL21"/>
    <mergeCell ref="AM21:AO21"/>
    <mergeCell ref="AG22:AI22"/>
    <mergeCell ref="AJ22:AL22"/>
    <mergeCell ref="AM22:AO22"/>
    <mergeCell ref="G10:Q10"/>
    <mergeCell ref="V10:AC10"/>
    <mergeCell ref="AG10:AH10"/>
    <mergeCell ref="AM10:AQ10"/>
    <mergeCell ref="AG18:AI18"/>
    <mergeCell ref="AJ18:AL18"/>
    <mergeCell ref="AM18:AO18"/>
    <mergeCell ref="AP18:AR18"/>
    <mergeCell ref="AG19:AI19"/>
    <mergeCell ref="AJ19:AL19"/>
    <mergeCell ref="AM19:AO19"/>
    <mergeCell ref="AP19:AR19"/>
    <mergeCell ref="AG20:AI20"/>
    <mergeCell ref="AM20:AO20"/>
    <mergeCell ref="AP20:AR20"/>
    <mergeCell ref="AG25:AI25"/>
    <mergeCell ref="AJ25:AL25"/>
    <mergeCell ref="AM25:AO25"/>
    <mergeCell ref="AG26:AI26"/>
    <mergeCell ref="AJ26:AL26"/>
    <mergeCell ref="AM26:AO26"/>
    <mergeCell ref="AG23:AI23"/>
    <mergeCell ref="AJ23:AL23"/>
    <mergeCell ref="AM23:AO23"/>
    <mergeCell ref="AG24:AI24"/>
    <mergeCell ref="AJ24:AL24"/>
    <mergeCell ref="AM24:AO24"/>
    <mergeCell ref="AG29:AI29"/>
    <mergeCell ref="AJ29:AL29"/>
    <mergeCell ref="AM29:AO29"/>
    <mergeCell ref="AG30:AI30"/>
    <mergeCell ref="AJ30:AL30"/>
    <mergeCell ref="AM30:AO30"/>
    <mergeCell ref="AG27:AI27"/>
    <mergeCell ref="AJ27:AL27"/>
    <mergeCell ref="AM27:AO27"/>
    <mergeCell ref="AG28:AI28"/>
    <mergeCell ref="AJ28:AL28"/>
    <mergeCell ref="AM28:AO28"/>
    <mergeCell ref="AG33:AI33"/>
    <mergeCell ref="AJ33:AL33"/>
    <mergeCell ref="AM33:AO33"/>
    <mergeCell ref="AG34:AI34"/>
    <mergeCell ref="AJ34:AL34"/>
    <mergeCell ref="AM34:AO34"/>
    <mergeCell ref="AG31:AI31"/>
    <mergeCell ref="AJ31:AL31"/>
    <mergeCell ref="AM31:AO31"/>
    <mergeCell ref="AG32:AI32"/>
    <mergeCell ref="AJ32:AL32"/>
    <mergeCell ref="AM32:AO32"/>
    <mergeCell ref="AG37:AI37"/>
    <mergeCell ref="AJ37:AL37"/>
    <mergeCell ref="AM37:AO37"/>
    <mergeCell ref="AG38:AI38"/>
    <mergeCell ref="AJ38:AL38"/>
    <mergeCell ref="AM38:AO38"/>
    <mergeCell ref="AG35:AI35"/>
    <mergeCell ref="AJ35:AL35"/>
    <mergeCell ref="AM35:AO35"/>
    <mergeCell ref="AG36:AI36"/>
    <mergeCell ref="AJ36:AL36"/>
    <mergeCell ref="AM36:AO36"/>
    <mergeCell ref="AG41:AI41"/>
    <mergeCell ref="AJ41:AL41"/>
    <mergeCell ref="AM41:AO41"/>
    <mergeCell ref="AG42:AI42"/>
    <mergeCell ref="AJ42:AL42"/>
    <mergeCell ref="AM42:AO42"/>
    <mergeCell ref="AG39:AI39"/>
    <mergeCell ref="AJ39:AL39"/>
    <mergeCell ref="AM39:AO39"/>
    <mergeCell ref="AG40:AI40"/>
    <mergeCell ref="AJ40:AL40"/>
    <mergeCell ref="AM40:AO40"/>
    <mergeCell ref="AJ69:AO69"/>
    <mergeCell ref="Q69:V69"/>
    <mergeCell ref="AN44:AR44"/>
    <mergeCell ref="AN45:AR45"/>
    <mergeCell ref="AN46:AR46"/>
    <mergeCell ref="B46:G46"/>
    <mergeCell ref="S46:AC46"/>
    <mergeCell ref="AH46:AM46"/>
    <mergeCell ref="AH44:AM44"/>
    <mergeCell ref="S44:AC44"/>
    <mergeCell ref="B44:G44"/>
    <mergeCell ref="AD44:AG44"/>
    <mergeCell ref="H44:R44"/>
    <mergeCell ref="H45:R45"/>
    <mergeCell ref="H46:R46"/>
    <mergeCell ref="AD45:AG45"/>
    <mergeCell ref="AD46:AG46"/>
  </mergeCells>
  <phoneticPr fontId="5" type="noConversion"/>
  <pageMargins left="0.75" right="0.75" top="1" bottom="1" header="0.5" footer="0.5"/>
  <pageSetup scale="56" orientation="portrait" horizontalDpi="4294967292" verticalDpi="4294967292" r:id="rId1"/>
  <colBreaks count="1" manualBreakCount="1">
    <brk id="44" max="1048575" man="1"/>
  </colBreaks>
  <drawing r:id="rId2"/>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0F6656C1-7A6A-48B9-96FD-008A590A32F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Cover Sheet</vt:lpstr>
      <vt:lpstr>Building Envelope</vt:lpstr>
      <vt:lpstr>Compartmentalization</vt:lpstr>
      <vt:lpstr>Ventilation</vt:lpstr>
      <vt:lpstr>Heat + Cool</vt:lpstr>
      <vt:lpstr>Hot Water</vt:lpstr>
      <vt:lpstr>Lighting &amp; Electric Loads</vt:lpstr>
      <vt:lpstr>IAQ</vt:lpstr>
      <vt:lpstr>NOTES For MFNC Doc's</vt:lpstr>
      <vt:lpstr>ES  Project Information</vt:lpstr>
      <vt:lpstr>ES Must Correct Report</vt:lpstr>
      <vt:lpstr>ES 1a. Rater Design Checklist</vt:lpstr>
      <vt:lpstr>ES 1b. Rater Field Checklist</vt:lpstr>
      <vt:lpstr>ES 2. Unit Testing Results</vt:lpstr>
      <vt:lpstr>ES 3a. Common Area Ventilation</vt:lpstr>
      <vt:lpstr>ES 3b.Central Exhaust Duct Test</vt:lpstr>
      <vt:lpstr>ES 4. Appliances</vt:lpstr>
      <vt:lpstr>ES 6. Fenestration</vt:lpstr>
      <vt:lpstr>ES 7. Heated Plenum or Garage</vt:lpstr>
      <vt:lpstr>ES 8. DHW_SHW Schedule</vt:lpstr>
      <vt:lpstr>ES 9. Heating Cooling Schedule</vt:lpstr>
      <vt:lpstr>ES 10. Lighting</vt:lpstr>
      <vt:lpstr>ES 11. Ventilation Schedule</vt:lpstr>
      <vt:lpstr>ES Reference Tables</vt:lpstr>
      <vt:lpstr>'ES 1b. Rater Field Checklist'!_Hlk514071204</vt:lpstr>
      <vt:lpstr>'ES 1a. Rater Design Checklist'!Print_Area</vt:lpstr>
      <vt:lpstr>'ES 1b. Rater Field Checklist'!Print_Area</vt:lpstr>
      <vt:lpstr>'ES Must Correct Report'!Print_Area</vt:lpstr>
      <vt:lpstr>IAQ!Print_Area</vt:lpstr>
      <vt:lpstr>'NOTES For MFNC Doc''s'!Print_Area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Lisa White</cp:lastModifiedBy>
  <cp:lastPrinted>2019-02-12T16:02:27Z</cp:lastPrinted>
  <dcterms:created xsi:type="dcterms:W3CDTF">2013-06-27T00:10:55Z</dcterms:created>
  <dcterms:modified xsi:type="dcterms:W3CDTF">2022-04-06T15:55:36Z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{0F6656C1-7A6A-48B9-96FD-008A590A32F5}</vt:lpwstr>
  </property>
</Properties>
</file>